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Documents\"/>
    </mc:Choice>
  </mc:AlternateContent>
  <bookViews>
    <workbookView xWindow="0" yWindow="0" windowWidth="21600" windowHeight="9600"/>
  </bookViews>
  <sheets>
    <sheet name="Stage 5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R88" i="1" l="1"/>
  <c r="AQ88" i="1"/>
  <c r="AO88" i="1"/>
  <c r="BW68" i="1"/>
  <c r="BN68" i="1"/>
  <c r="BJ68" i="1" s="1"/>
  <c r="BW67" i="1"/>
  <c r="BN67" i="1"/>
  <c r="BJ67" i="1"/>
  <c r="BW66" i="1"/>
  <c r="BN66" i="1"/>
  <c r="BJ66" i="1"/>
  <c r="BW65" i="1"/>
  <c r="BN65" i="1"/>
  <c r="BJ65" i="1"/>
  <c r="BW64" i="1"/>
  <c r="BN64" i="1"/>
  <c r="BJ64" i="1" s="1"/>
  <c r="BW63" i="1"/>
  <c r="BN63" i="1"/>
  <c r="BJ63" i="1" s="1"/>
  <c r="BW62" i="1"/>
  <c r="BN62" i="1"/>
  <c r="BJ62" i="1"/>
  <c r="BW61" i="1"/>
  <c r="BN61" i="1"/>
  <c r="BJ61" i="1"/>
  <c r="BW60" i="1"/>
  <c r="BN60" i="1"/>
  <c r="BJ60" i="1"/>
  <c r="BW59" i="1"/>
  <c r="BN59" i="1"/>
  <c r="BJ59" i="1" s="1"/>
  <c r="BW58" i="1"/>
  <c r="BN58" i="1"/>
  <c r="BJ58" i="1" s="1"/>
  <c r="BW57" i="1"/>
  <c r="BN57" i="1"/>
  <c r="BJ57" i="1" s="1"/>
  <c r="BW56" i="1"/>
  <c r="BN56" i="1"/>
  <c r="BJ56" i="1" s="1"/>
  <c r="BW55" i="1"/>
  <c r="BN55" i="1"/>
  <c r="BJ55" i="1" s="1"/>
  <c r="BW54" i="1"/>
  <c r="BN54" i="1"/>
  <c r="BJ54" i="1"/>
  <c r="BW52" i="1"/>
  <c r="BN52" i="1"/>
  <c r="BJ52" i="1"/>
  <c r="BE52" i="1"/>
  <c r="BW51" i="1"/>
  <c r="BN51" i="1"/>
  <c r="BJ51" i="1" s="1"/>
  <c r="BE51" i="1"/>
  <c r="BW50" i="1"/>
  <c r="BN50" i="1"/>
  <c r="BJ50" i="1"/>
  <c r="BE50" i="1"/>
  <c r="BW49" i="1"/>
  <c r="BN49" i="1"/>
  <c r="BJ49" i="1" s="1"/>
  <c r="BE49" i="1"/>
  <c r="AQ42" i="1"/>
  <c r="AQ43" i="1" s="1"/>
  <c r="AQ39" i="1"/>
  <c r="AP39" i="1"/>
  <c r="AO39" i="1"/>
  <c r="AN39" i="1"/>
  <c r="AM39" i="1"/>
  <c r="AL39" i="1"/>
  <c r="AL40" i="1" s="1"/>
  <c r="K34" i="1"/>
  <c r="I34" i="1"/>
  <c r="G34" i="1"/>
  <c r="E34" i="1"/>
  <c r="Z33" i="1"/>
  <c r="AJ67" i="1" s="1"/>
  <c r="AE32" i="1"/>
  <c r="AF32" i="1" s="1"/>
  <c r="AG32" i="1" s="1"/>
  <c r="AA32" i="1"/>
  <c r="Z32" i="1"/>
  <c r="AJ66" i="1" s="1"/>
  <c r="I32" i="1"/>
  <c r="G32" i="1"/>
  <c r="Z31" i="1"/>
  <c r="W31" i="1"/>
  <c r="U31" i="1"/>
  <c r="S31" i="1"/>
  <c r="Q31" i="1"/>
  <c r="O31" i="1"/>
  <c r="K31" i="1"/>
  <c r="J31" i="1"/>
  <c r="I31" i="1"/>
  <c r="H31" i="1"/>
  <c r="G31" i="1"/>
  <c r="F31" i="1"/>
  <c r="AE30" i="1"/>
  <c r="AF30" i="1" s="1"/>
  <c r="AG30" i="1" s="1"/>
  <c r="AA30" i="1"/>
  <c r="Z30" i="1"/>
  <c r="AJ64" i="1" s="1"/>
  <c r="W30" i="1"/>
  <c r="U30" i="1"/>
  <c r="S30" i="1"/>
  <c r="Q30" i="1"/>
  <c r="O30" i="1"/>
  <c r="L30" i="1"/>
  <c r="DE230" i="1" s="1"/>
  <c r="K30" i="1"/>
  <c r="AA33" i="1" s="1"/>
  <c r="J30" i="1"/>
  <c r="I30" i="1"/>
  <c r="H30" i="1"/>
  <c r="G30" i="1"/>
  <c r="F30" i="1"/>
  <c r="E30" i="1"/>
  <c r="DD230" i="1" s="1"/>
  <c r="D30" i="1"/>
  <c r="DC230" i="1" s="1"/>
  <c r="C30" i="1"/>
  <c r="DB230" i="1" s="1"/>
  <c r="B30" i="1"/>
  <c r="CC29" i="1"/>
  <c r="CD29" i="1" s="1"/>
  <c r="CA29" i="1"/>
  <c r="CB29" i="1" s="1"/>
  <c r="BY29" i="1"/>
  <c r="BZ29" i="1" s="1"/>
  <c r="BW29" i="1"/>
  <c r="BX29" i="1" s="1"/>
  <c r="BU29" i="1"/>
  <c r="BV29" i="1" s="1"/>
  <c r="BS29" i="1"/>
  <c r="BT29" i="1" s="1"/>
  <c r="BF29" i="1"/>
  <c r="BF30" i="1" s="1"/>
  <c r="Z29" i="1"/>
  <c r="W29" i="1"/>
  <c r="U29" i="1"/>
  <c r="S29" i="1"/>
  <c r="Q29" i="1"/>
  <c r="O29" i="1"/>
  <c r="K29" i="1"/>
  <c r="J29" i="1"/>
  <c r="I29" i="1"/>
  <c r="H29" i="1"/>
  <c r="G29" i="1"/>
  <c r="F29" i="1"/>
  <c r="E29" i="1"/>
  <c r="DD229" i="1" s="1"/>
  <c r="D29" i="1"/>
  <c r="DC229" i="1" s="1"/>
  <c r="C29" i="1"/>
  <c r="B29" i="1"/>
  <c r="CD28" i="1"/>
  <c r="CB28" i="1"/>
  <c r="BZ28" i="1"/>
  <c r="BX28" i="1"/>
  <c r="BV28" i="1"/>
  <c r="BT28" i="1"/>
  <c r="CE28" i="1" s="1"/>
  <c r="BJ69" i="1" s="1"/>
  <c r="AE28" i="1"/>
  <c r="AF28" i="1" s="1"/>
  <c r="AG28" i="1" s="1"/>
  <c r="Z28" i="1"/>
  <c r="AJ62" i="1" s="1"/>
  <c r="W28" i="1"/>
  <c r="U28" i="1"/>
  <c r="S28" i="1"/>
  <c r="Q28" i="1"/>
  <c r="O28" i="1"/>
  <c r="L28" i="1"/>
  <c r="DE228" i="1" s="1"/>
  <c r="K28" i="1"/>
  <c r="AA31" i="1" s="1"/>
  <c r="J28" i="1"/>
  <c r="I28" i="1"/>
  <c r="H28" i="1"/>
  <c r="G28" i="1"/>
  <c r="F28" i="1"/>
  <c r="E28" i="1"/>
  <c r="DD228" i="1" s="1"/>
  <c r="D28" i="1"/>
  <c r="DC228" i="1" s="1"/>
  <c r="C28" i="1"/>
  <c r="DB228" i="1" s="1"/>
  <c r="B28" i="1"/>
  <c r="CD27" i="1"/>
  <c r="CB27" i="1"/>
  <c r="BZ27" i="1"/>
  <c r="BX27" i="1"/>
  <c r="BV27" i="1"/>
  <c r="BT27" i="1"/>
  <c r="CE27" i="1" s="1"/>
  <c r="BR27" i="1"/>
  <c r="AE27" i="1"/>
  <c r="AF27" i="1" s="1"/>
  <c r="AG27" i="1" s="1"/>
  <c r="AA27" i="1"/>
  <c r="AK61" i="1" s="1"/>
  <c r="AL61" i="1" s="1"/>
  <c r="Z27" i="1"/>
  <c r="AJ61" i="1" s="1"/>
  <c r="W27" i="1"/>
  <c r="U27" i="1"/>
  <c r="S27" i="1"/>
  <c r="Q27" i="1"/>
  <c r="O27" i="1"/>
  <c r="L27" i="1"/>
  <c r="DE227" i="1" s="1"/>
  <c r="K27" i="1"/>
  <c r="J27" i="1"/>
  <c r="I27" i="1"/>
  <c r="H27" i="1"/>
  <c r="G27" i="1"/>
  <c r="F27" i="1"/>
  <c r="E27" i="1"/>
  <c r="DD227" i="1" s="1"/>
  <c r="D27" i="1"/>
  <c r="DC227" i="1" s="1"/>
  <c r="C27" i="1"/>
  <c r="DB227" i="1" s="1"/>
  <c r="B27" i="1"/>
  <c r="CD26" i="1"/>
  <c r="CB26" i="1"/>
  <c r="BZ26" i="1"/>
  <c r="BX26" i="1"/>
  <c r="BV26" i="1"/>
  <c r="BT26" i="1"/>
  <c r="CE26" i="1" s="1"/>
  <c r="BR26" i="1"/>
  <c r="AE26" i="1"/>
  <c r="AF26" i="1" s="1"/>
  <c r="AG26" i="1" s="1"/>
  <c r="Z26" i="1"/>
  <c r="AJ60" i="1" s="1"/>
  <c r="W26" i="1"/>
  <c r="U26" i="1"/>
  <c r="S26" i="1"/>
  <c r="Q26" i="1"/>
  <c r="O26" i="1"/>
  <c r="L26" i="1"/>
  <c r="DE226" i="1" s="1"/>
  <c r="K26" i="1"/>
  <c r="AA29" i="1" s="1"/>
  <c r="J26" i="1"/>
  <c r="I26" i="1"/>
  <c r="H26" i="1"/>
  <c r="G26" i="1"/>
  <c r="F26" i="1"/>
  <c r="E26" i="1"/>
  <c r="DD226" i="1" s="1"/>
  <c r="D26" i="1"/>
  <c r="DC226" i="1" s="1"/>
  <c r="C26" i="1"/>
  <c r="DB226" i="1" s="1"/>
  <c r="B26" i="1"/>
  <c r="CD25" i="1"/>
  <c r="CB25" i="1"/>
  <c r="BZ25" i="1"/>
  <c r="BX25" i="1"/>
  <c r="BV25" i="1"/>
  <c r="BT25" i="1"/>
  <c r="CE25" i="1" s="1"/>
  <c r="BR25" i="1"/>
  <c r="BF25" i="1"/>
  <c r="BF27" i="1" s="1"/>
  <c r="Z25" i="1"/>
  <c r="AJ59" i="1" s="1"/>
  <c r="W25" i="1"/>
  <c r="U25" i="1"/>
  <c r="S25" i="1"/>
  <c r="Q25" i="1"/>
  <c r="O25" i="1"/>
  <c r="K25" i="1"/>
  <c r="AA28" i="1" s="1"/>
  <c r="J25" i="1"/>
  <c r="I25" i="1"/>
  <c r="H25" i="1"/>
  <c r="G25" i="1"/>
  <c r="F25" i="1"/>
  <c r="E25" i="1"/>
  <c r="DD225" i="1" s="1"/>
  <c r="D25" i="1"/>
  <c r="DC225" i="1" s="1"/>
  <c r="C25" i="1"/>
  <c r="DB225" i="1" s="1"/>
  <c r="B25" i="1"/>
  <c r="CD24" i="1"/>
  <c r="CB24" i="1"/>
  <c r="BZ24" i="1"/>
  <c r="BX24" i="1"/>
  <c r="BV24" i="1"/>
  <c r="CE24" i="1" s="1"/>
  <c r="BT24" i="1"/>
  <c r="BR24" i="1"/>
  <c r="BJ24" i="1"/>
  <c r="BE24" i="1"/>
  <c r="BG68" i="1" s="1"/>
  <c r="AE24" i="1"/>
  <c r="AF24" i="1" s="1"/>
  <c r="AG24" i="1" s="1"/>
  <c r="Z24" i="1"/>
  <c r="AJ58" i="1" s="1"/>
  <c r="W24" i="1"/>
  <c r="U24" i="1"/>
  <c r="S24" i="1"/>
  <c r="Q24" i="1"/>
  <c r="O24" i="1"/>
  <c r="L24" i="1"/>
  <c r="DE224" i="1" s="1"/>
  <c r="K24" i="1"/>
  <c r="J24" i="1"/>
  <c r="I24" i="1"/>
  <c r="H24" i="1"/>
  <c r="G24" i="1"/>
  <c r="F24" i="1"/>
  <c r="E24" i="1"/>
  <c r="DD224" i="1" s="1"/>
  <c r="D24" i="1"/>
  <c r="DC224" i="1" s="1"/>
  <c r="C24" i="1"/>
  <c r="DB224" i="1" s="1"/>
  <c r="B24" i="1"/>
  <c r="CD23" i="1"/>
  <c r="CB23" i="1"/>
  <c r="BZ23" i="1"/>
  <c r="BX23" i="1"/>
  <c r="BV23" i="1"/>
  <c r="BT23" i="1"/>
  <c r="CE23" i="1" s="1"/>
  <c r="BR23" i="1"/>
  <c r="BJ23" i="1"/>
  <c r="BE23" i="1"/>
  <c r="Z23" i="1"/>
  <c r="W23" i="1"/>
  <c r="U23" i="1"/>
  <c r="S23" i="1"/>
  <c r="Q23" i="1"/>
  <c r="O23" i="1"/>
  <c r="K23" i="1"/>
  <c r="AA26" i="1" s="1"/>
  <c r="J23" i="1"/>
  <c r="I23" i="1"/>
  <c r="H23" i="1"/>
  <c r="G23" i="1"/>
  <c r="F23" i="1"/>
  <c r="E23" i="1"/>
  <c r="DD223" i="1" s="1"/>
  <c r="D23" i="1"/>
  <c r="DC223" i="1" s="1"/>
  <c r="C23" i="1"/>
  <c r="B23" i="1"/>
  <c r="CD22" i="1"/>
  <c r="CB22" i="1"/>
  <c r="BZ22" i="1"/>
  <c r="BX22" i="1"/>
  <c r="BV22" i="1"/>
  <c r="BT22" i="1"/>
  <c r="BR22" i="1"/>
  <c r="BJ22" i="1"/>
  <c r="BE22" i="1"/>
  <c r="Z22" i="1"/>
  <c r="W22" i="1"/>
  <c r="U22" i="1"/>
  <c r="S22" i="1"/>
  <c r="Q22" i="1"/>
  <c r="O22" i="1"/>
  <c r="K22" i="1"/>
  <c r="AA25" i="1" s="1"/>
  <c r="AK59" i="1" s="1"/>
  <c r="AL59" i="1" s="1"/>
  <c r="J22" i="1"/>
  <c r="I22" i="1"/>
  <c r="H22" i="1"/>
  <c r="G22" i="1"/>
  <c r="F22" i="1"/>
  <c r="E22" i="1"/>
  <c r="DD222" i="1" s="1"/>
  <c r="D22" i="1"/>
  <c r="DC222" i="1" s="1"/>
  <c r="C22" i="1"/>
  <c r="B22" i="1"/>
  <c r="CD21" i="1"/>
  <c r="CB21" i="1"/>
  <c r="BZ21" i="1"/>
  <c r="BX21" i="1"/>
  <c r="BV21" i="1"/>
  <c r="BT21" i="1"/>
  <c r="BR21" i="1"/>
  <c r="BJ21" i="1"/>
  <c r="BE21" i="1"/>
  <c r="Z21" i="1"/>
  <c r="W21" i="1"/>
  <c r="U21" i="1"/>
  <c r="S21" i="1"/>
  <c r="Q21" i="1"/>
  <c r="O21" i="1"/>
  <c r="K21" i="1"/>
  <c r="AA24" i="1" s="1"/>
  <c r="J21" i="1"/>
  <c r="I21" i="1"/>
  <c r="H21" i="1"/>
  <c r="G21" i="1"/>
  <c r="F21" i="1"/>
  <c r="E21" i="1"/>
  <c r="DD221" i="1" s="1"/>
  <c r="D21" i="1"/>
  <c r="DC221" i="1" s="1"/>
  <c r="C21" i="1"/>
  <c r="B21" i="1"/>
  <c r="CD20" i="1"/>
  <c r="CB20" i="1"/>
  <c r="BZ20" i="1"/>
  <c r="BX20" i="1"/>
  <c r="BV20" i="1"/>
  <c r="BT20" i="1"/>
  <c r="BR20" i="1"/>
  <c r="BJ20" i="1"/>
  <c r="BE20" i="1"/>
  <c r="AA20" i="1"/>
  <c r="Z20" i="1"/>
  <c r="AJ54" i="1" s="1"/>
  <c r="W20" i="1"/>
  <c r="U20" i="1"/>
  <c r="S20" i="1"/>
  <c r="Q20" i="1"/>
  <c r="O20" i="1"/>
  <c r="L20" i="1"/>
  <c r="DE220" i="1" s="1"/>
  <c r="K20" i="1"/>
  <c r="AA23" i="1" s="1"/>
  <c r="J20" i="1"/>
  <c r="I20" i="1"/>
  <c r="H20" i="1"/>
  <c r="G20" i="1"/>
  <c r="F20" i="1"/>
  <c r="E20" i="1"/>
  <c r="DD220" i="1" s="1"/>
  <c r="D20" i="1"/>
  <c r="DC220" i="1" s="1"/>
  <c r="C20" i="1"/>
  <c r="DB220" i="1" s="1"/>
  <c r="B20" i="1"/>
  <c r="CD19" i="1"/>
  <c r="CB19" i="1"/>
  <c r="BZ19" i="1"/>
  <c r="BX19" i="1"/>
  <c r="BV19" i="1"/>
  <c r="BT19" i="1"/>
  <c r="CE19" i="1" s="1"/>
  <c r="BR19" i="1"/>
  <c r="BJ19" i="1"/>
  <c r="BE19" i="1"/>
  <c r="BC19" i="1"/>
  <c r="Z19" i="1"/>
  <c r="W19" i="1"/>
  <c r="U19" i="1"/>
  <c r="S19" i="1"/>
  <c r="Q19" i="1"/>
  <c r="O19" i="1"/>
  <c r="K19" i="1"/>
  <c r="AA22" i="1" s="1"/>
  <c r="AK56" i="1" s="1"/>
  <c r="AL56" i="1" s="1"/>
  <c r="J19" i="1"/>
  <c r="I19" i="1"/>
  <c r="H19" i="1"/>
  <c r="G19" i="1"/>
  <c r="F19" i="1"/>
  <c r="E19" i="1"/>
  <c r="DD219" i="1" s="1"/>
  <c r="D19" i="1"/>
  <c r="DC219" i="1" s="1"/>
  <c r="C19" i="1"/>
  <c r="B19" i="1"/>
  <c r="CD18" i="1"/>
  <c r="CB18" i="1"/>
  <c r="BZ18" i="1"/>
  <c r="BX18" i="1"/>
  <c r="BV18" i="1"/>
  <c r="BT18" i="1"/>
  <c r="BR18" i="1"/>
  <c r="BJ18" i="1"/>
  <c r="BE18" i="1"/>
  <c r="BC18" i="1"/>
  <c r="Z18" i="1"/>
  <c r="AJ52" i="1" s="1"/>
  <c r="W18" i="1"/>
  <c r="U18" i="1"/>
  <c r="S18" i="1"/>
  <c r="Q18" i="1"/>
  <c r="O18" i="1"/>
  <c r="K18" i="1"/>
  <c r="AA21" i="1" s="1"/>
  <c r="AK55" i="1" s="1"/>
  <c r="AL55" i="1" s="1"/>
  <c r="J18" i="1"/>
  <c r="I18" i="1"/>
  <c r="H18" i="1"/>
  <c r="G18" i="1"/>
  <c r="F18" i="1"/>
  <c r="E18" i="1"/>
  <c r="DD218" i="1" s="1"/>
  <c r="D18" i="1"/>
  <c r="DC218" i="1" s="1"/>
  <c r="C18" i="1"/>
  <c r="DB218" i="1" s="1"/>
  <c r="B18" i="1"/>
  <c r="A18" i="1"/>
  <c r="CD17" i="1"/>
  <c r="CB17" i="1"/>
  <c r="BZ17" i="1"/>
  <c r="BX17" i="1"/>
  <c r="BV17" i="1"/>
  <c r="CE17" i="1" s="1"/>
  <c r="BT17" i="1"/>
  <c r="BR17" i="1"/>
  <c r="BJ17" i="1"/>
  <c r="BE17" i="1"/>
  <c r="Z17" i="1"/>
  <c r="AJ51" i="1" s="1"/>
  <c r="W17" i="1"/>
  <c r="U17" i="1"/>
  <c r="S17" i="1"/>
  <c r="Q17" i="1"/>
  <c r="O17" i="1"/>
  <c r="K17" i="1"/>
  <c r="J17" i="1"/>
  <c r="I17" i="1"/>
  <c r="H17" i="1"/>
  <c r="G17" i="1"/>
  <c r="F17" i="1"/>
  <c r="E17" i="1"/>
  <c r="DD217" i="1" s="1"/>
  <c r="D17" i="1"/>
  <c r="DC217" i="1" s="1"/>
  <c r="C17" i="1"/>
  <c r="DB217" i="1" s="1"/>
  <c r="B17" i="1"/>
  <c r="A17" i="1"/>
  <c r="DA217" i="1" s="1"/>
  <c r="CD16" i="1"/>
  <c r="CB16" i="1"/>
  <c r="BZ16" i="1"/>
  <c r="BX16" i="1"/>
  <c r="BV16" i="1"/>
  <c r="CE16" i="1" s="1"/>
  <c r="BT16" i="1"/>
  <c r="BR16" i="1"/>
  <c r="BE16" i="1"/>
  <c r="Z16" i="1"/>
  <c r="AJ50" i="1" s="1"/>
  <c r="W16" i="1"/>
  <c r="U16" i="1"/>
  <c r="S16" i="1"/>
  <c r="Q16" i="1"/>
  <c r="O16" i="1"/>
  <c r="K16" i="1"/>
  <c r="AA19" i="1" s="1"/>
  <c r="AK53" i="1" s="1"/>
  <c r="AL53" i="1" s="1"/>
  <c r="J16" i="1"/>
  <c r="I16" i="1"/>
  <c r="H16" i="1"/>
  <c r="G16" i="1"/>
  <c r="F16" i="1"/>
  <c r="E16" i="1"/>
  <c r="DD216" i="1" s="1"/>
  <c r="D16" i="1"/>
  <c r="DC216" i="1" s="1"/>
  <c r="C16" i="1"/>
  <c r="DB216" i="1" s="1"/>
  <c r="B16" i="1"/>
  <c r="CD15" i="1"/>
  <c r="CB15" i="1"/>
  <c r="BZ15" i="1"/>
  <c r="BX15" i="1"/>
  <c r="BV15" i="1"/>
  <c r="BT15" i="1"/>
  <c r="CE15" i="1" s="1"/>
  <c r="BR15" i="1"/>
  <c r="BN15" i="1"/>
  <c r="BJ15" i="1"/>
  <c r="BE15" i="1"/>
  <c r="Z15" i="1"/>
  <c r="AJ49" i="1" s="1"/>
  <c r="W15" i="1"/>
  <c r="U15" i="1"/>
  <c r="S15" i="1"/>
  <c r="Q15" i="1"/>
  <c r="O15" i="1"/>
  <c r="K15" i="1"/>
  <c r="AA18" i="1" s="1"/>
  <c r="J15" i="1"/>
  <c r="I15" i="1"/>
  <c r="H15" i="1"/>
  <c r="G15" i="1"/>
  <c r="F15" i="1"/>
  <c r="E15" i="1"/>
  <c r="DD215" i="1" s="1"/>
  <c r="D15" i="1"/>
  <c r="DC215" i="1" s="1"/>
  <c r="C15" i="1"/>
  <c r="DB215" i="1" s="1"/>
  <c r="B15" i="1"/>
  <c r="CD14" i="1"/>
  <c r="CB14" i="1"/>
  <c r="BZ14" i="1"/>
  <c r="BX14" i="1"/>
  <c r="BV14" i="1"/>
  <c r="CE14" i="1" s="1"/>
  <c r="BT14" i="1"/>
  <c r="BR14" i="1"/>
  <c r="BN14" i="1"/>
  <c r="BJ14" i="1"/>
  <c r="BE14" i="1"/>
  <c r="Z14" i="1"/>
  <c r="AJ48" i="1" s="1"/>
  <c r="W14" i="1"/>
  <c r="U14" i="1"/>
  <c r="S14" i="1"/>
  <c r="Q14" i="1"/>
  <c r="O14" i="1"/>
  <c r="K14" i="1"/>
  <c r="AA17" i="1" s="1"/>
  <c r="J14" i="1"/>
  <c r="I14" i="1"/>
  <c r="H14" i="1"/>
  <c r="G14" i="1"/>
  <c r="F14" i="1"/>
  <c r="E14" i="1"/>
  <c r="DD214" i="1" s="1"/>
  <c r="D14" i="1"/>
  <c r="DC214" i="1" s="1"/>
  <c r="C14" i="1"/>
  <c r="DB214" i="1" s="1"/>
  <c r="B14" i="1"/>
  <c r="A14" i="1"/>
  <c r="DA214" i="1" s="1"/>
  <c r="CD13" i="1"/>
  <c r="CB13" i="1"/>
  <c r="BZ13" i="1"/>
  <c r="BX13" i="1"/>
  <c r="BV13" i="1"/>
  <c r="BT13" i="1"/>
  <c r="CE13" i="1" s="1"/>
  <c r="BR13" i="1"/>
  <c r="BJ13" i="1"/>
  <c r="BE13" i="1"/>
  <c r="W13" i="1"/>
  <c r="U13" i="1"/>
  <c r="S13" i="1"/>
  <c r="Q13" i="1"/>
  <c r="O13" i="1"/>
  <c r="K13" i="1"/>
  <c r="AA16" i="1" s="1"/>
  <c r="J13" i="1"/>
  <c r="I13" i="1"/>
  <c r="H13" i="1"/>
  <c r="G13" i="1"/>
  <c r="F13" i="1"/>
  <c r="E13" i="1"/>
  <c r="DD213" i="1" s="1"/>
  <c r="D13" i="1"/>
  <c r="DC213" i="1" s="1"/>
  <c r="C13" i="1"/>
  <c r="DB213" i="1" s="1"/>
  <c r="B13" i="1"/>
  <c r="CD12" i="1"/>
  <c r="CB12" i="1"/>
  <c r="BZ12" i="1"/>
  <c r="BX12" i="1"/>
  <c r="BV12" i="1"/>
  <c r="BT12" i="1"/>
  <c r="CE12" i="1" s="1"/>
  <c r="BR12" i="1"/>
  <c r="BJ12" i="1"/>
  <c r="BI12" i="1"/>
  <c r="BE12" i="1"/>
  <c r="W12" i="1"/>
  <c r="U12" i="1"/>
  <c r="S12" i="1"/>
  <c r="Q12" i="1"/>
  <c r="O12" i="1"/>
  <c r="K12" i="1"/>
  <c r="AA15" i="1" s="1"/>
  <c r="J12" i="1"/>
  <c r="I12" i="1"/>
  <c r="H12" i="1"/>
  <c r="G12" i="1"/>
  <c r="F12" i="1"/>
  <c r="E12" i="1"/>
  <c r="DD212" i="1" s="1"/>
  <c r="D12" i="1"/>
  <c r="DC212" i="1" s="1"/>
  <c r="C12" i="1"/>
  <c r="DB212" i="1" s="1"/>
  <c r="B12" i="1"/>
  <c r="CD11" i="1"/>
  <c r="CB11" i="1"/>
  <c r="BZ11" i="1"/>
  <c r="BX11" i="1"/>
  <c r="BV11" i="1"/>
  <c r="BT11" i="1"/>
  <c r="CE11" i="1" s="1"/>
  <c r="BR11" i="1"/>
  <c r="BJ11" i="1"/>
  <c r="BE11" i="1"/>
  <c r="BC11" i="1"/>
  <c r="W11" i="1"/>
  <c r="U11" i="1"/>
  <c r="S11" i="1"/>
  <c r="S32" i="1" s="1"/>
  <c r="Q11" i="1"/>
  <c r="Q32" i="1" s="1"/>
  <c r="O11" i="1"/>
  <c r="K11" i="1"/>
  <c r="AA14" i="1" s="1"/>
  <c r="J11" i="1"/>
  <c r="I11" i="1"/>
  <c r="H11" i="1"/>
  <c r="G11" i="1"/>
  <c r="F11" i="1"/>
  <c r="E11" i="1"/>
  <c r="D11" i="1"/>
  <c r="DC211" i="1" s="1"/>
  <c r="C11" i="1"/>
  <c r="DB211" i="1" s="1"/>
  <c r="B11" i="1"/>
  <c r="CD10" i="1"/>
  <c r="CB10" i="1"/>
  <c r="BZ10" i="1"/>
  <c r="BX10" i="1"/>
  <c r="BV10" i="1"/>
  <c r="CE10" i="1" s="1"/>
  <c r="BT10" i="1"/>
  <c r="BR10" i="1"/>
  <c r="BE10" i="1"/>
  <c r="CD9" i="1"/>
  <c r="CB9" i="1"/>
  <c r="BZ9" i="1"/>
  <c r="BX9" i="1"/>
  <c r="BV9" i="1"/>
  <c r="BT9" i="1"/>
  <c r="CE9" i="1" s="1"/>
  <c r="BR9" i="1"/>
  <c r="BE9" i="1"/>
  <c r="CD8" i="1"/>
  <c r="CB8" i="1"/>
  <c r="BZ8" i="1"/>
  <c r="BX8" i="1"/>
  <c r="CE8" i="1" s="1"/>
  <c r="BV8" i="1"/>
  <c r="BT8" i="1"/>
  <c r="BR8" i="1"/>
  <c r="BJ8" i="1"/>
  <c r="BE8" i="1"/>
  <c r="BA8" i="1"/>
  <c r="J8" i="1"/>
  <c r="H8" i="1"/>
  <c r="F8" i="1"/>
  <c r="BE7" i="1"/>
  <c r="L7" i="1"/>
  <c r="L8" i="1" s="1"/>
  <c r="J7" i="1"/>
  <c r="H7" i="1"/>
  <c r="F7" i="1"/>
  <c r="CE6" i="1"/>
  <c r="BJ6" i="1"/>
  <c r="BE6" i="1"/>
  <c r="BE5" i="1"/>
  <c r="AT5" i="1"/>
  <c r="BC31" i="1" s="1"/>
  <c r="AZ4" i="1"/>
  <c r="AG4" i="1"/>
  <c r="AE20" i="1" s="1"/>
  <c r="AF20" i="1" s="1"/>
  <c r="AG20" i="1" s="1"/>
  <c r="J4" i="1"/>
  <c r="D4" i="1"/>
  <c r="AZ3" i="1"/>
  <c r="AL3" i="1"/>
  <c r="M3" i="1"/>
  <c r="BO17" i="1" s="1"/>
  <c r="J3" i="1"/>
  <c r="G4" i="1" s="1"/>
  <c r="G3" i="1"/>
  <c r="D3" i="1"/>
  <c r="BF2" i="1"/>
  <c r="AZ2" i="1"/>
  <c r="D2" i="1"/>
  <c r="A2" i="1"/>
  <c r="BY1" i="1"/>
  <c r="BE1" i="1"/>
  <c r="K1" i="1"/>
  <c r="A1" i="1"/>
  <c r="Z44" i="1" a="1"/>
  <c r="AB63" i="1" l="1"/>
  <c r="AA62" i="1"/>
  <c r="Z61" i="1"/>
  <c r="AB59" i="1"/>
  <c r="AA58" i="1"/>
  <c r="Z57" i="1"/>
  <c r="AB55" i="1"/>
  <c r="Z63" i="1"/>
  <c r="AB61" i="1"/>
  <c r="AA60" i="1"/>
  <c r="Z59" i="1"/>
  <c r="AB57" i="1"/>
  <c r="AA56" i="1"/>
  <c r="AA63" i="1"/>
  <c r="AB60" i="1"/>
  <c r="Z58" i="1"/>
  <c r="AA55" i="1"/>
  <c r="Z54" i="1"/>
  <c r="AB52" i="1"/>
  <c r="AA51" i="1"/>
  <c r="Z50" i="1"/>
  <c r="AB48" i="1"/>
  <c r="AA47" i="1"/>
  <c r="Z46" i="1"/>
  <c r="AB44" i="1"/>
  <c r="AB62" i="1"/>
  <c r="Z60" i="1"/>
  <c r="AA57" i="1"/>
  <c r="Z55" i="1"/>
  <c r="AB53" i="1"/>
  <c r="AA52" i="1"/>
  <c r="Z51" i="1"/>
  <c r="AB49" i="1"/>
  <c r="AA48" i="1"/>
  <c r="Z47" i="1"/>
  <c r="AB45" i="1"/>
  <c r="AA44" i="1"/>
  <c r="Z62" i="1"/>
  <c r="AA59" i="1"/>
  <c r="AB56" i="1"/>
  <c r="AB54" i="1"/>
  <c r="AA53" i="1"/>
  <c r="Z52" i="1"/>
  <c r="AB50" i="1"/>
  <c r="AA49" i="1"/>
  <c r="Z48" i="1"/>
  <c r="AB46" i="1"/>
  <c r="AA45" i="1"/>
  <c r="Z44" i="1"/>
  <c r="AB58" i="1"/>
  <c r="AB51" i="1"/>
  <c r="AA46" i="1"/>
  <c r="Z56" i="1"/>
  <c r="AA50" i="1"/>
  <c r="Z45" i="1"/>
  <c r="AA54" i="1"/>
  <c r="Z49" i="1"/>
  <c r="AA61" i="1"/>
  <c r="Z53" i="1"/>
  <c r="AB47" i="1"/>
  <c r="AK50" i="1"/>
  <c r="AL50" i="1" s="1"/>
  <c r="BO10" i="1"/>
  <c r="AC16" i="1"/>
  <c r="AE17" i="1"/>
  <c r="BO11" i="1"/>
  <c r="AK51" i="1"/>
  <c r="AL51" i="1" s="1"/>
  <c r="AC17" i="1"/>
  <c r="M28" i="1"/>
  <c r="M27" i="1"/>
  <c r="M26" i="1"/>
  <c r="M24" i="1"/>
  <c r="M20" i="1"/>
  <c r="M30" i="1"/>
  <c r="M23" i="1"/>
  <c r="M22" i="1"/>
  <c r="AK48" i="1"/>
  <c r="AL48" i="1" s="1"/>
  <c r="BO8" i="1"/>
  <c r="AC14" i="1"/>
  <c r="AK49" i="1"/>
  <c r="AL49" i="1" s="1"/>
  <c r="BO9" i="1"/>
  <c r="AC15" i="1"/>
  <c r="AK52" i="1"/>
  <c r="AL52" i="1" s="1"/>
  <c r="AC18" i="1"/>
  <c r="BO12" i="1"/>
  <c r="AE18" i="1"/>
  <c r="AF18" i="1" s="1"/>
  <c r="AG18" i="1" s="1"/>
  <c r="BG49" i="1"/>
  <c r="BI49" i="1"/>
  <c r="BG54" i="1"/>
  <c r="BI54" i="1"/>
  <c r="BI58" i="1"/>
  <c r="BG58" i="1"/>
  <c r="BI60" i="1"/>
  <c r="BG60" i="1"/>
  <c r="BI62" i="1"/>
  <c r="BG62" i="1"/>
  <c r="AJ65" i="1"/>
  <c r="AE31" i="1"/>
  <c r="AF31" i="1" s="1"/>
  <c r="AG31" i="1" s="1"/>
  <c r="G33" i="1"/>
  <c r="DA209" i="1"/>
  <c r="BG50" i="1"/>
  <c r="BI50" i="1"/>
  <c r="BJ7" i="1"/>
  <c r="BI8" i="1"/>
  <c r="BJ9" i="1"/>
  <c r="BI55" i="1"/>
  <c r="BG55" i="1"/>
  <c r="BN11" i="1"/>
  <c r="AE14" i="1"/>
  <c r="AF14" i="1" s="1"/>
  <c r="BO14" i="1"/>
  <c r="AE16" i="1"/>
  <c r="AF16" i="1" s="1"/>
  <c r="AG16" i="1" s="1"/>
  <c r="BO16" i="1"/>
  <c r="BG61" i="1"/>
  <c r="BI61" i="1"/>
  <c r="DB219" i="1"/>
  <c r="L19" i="1"/>
  <c r="DE219" i="1" s="1"/>
  <c r="AC19" i="1"/>
  <c r="AK57" i="1"/>
  <c r="AL57" i="1" s="1"/>
  <c r="AC23" i="1"/>
  <c r="AK54" i="1"/>
  <c r="AL54" i="1" s="1"/>
  <c r="AC20" i="1"/>
  <c r="CE21" i="1"/>
  <c r="DB222" i="1"/>
  <c r="L22" i="1"/>
  <c r="DE222" i="1" s="1"/>
  <c r="AC22" i="1"/>
  <c r="BG26" i="1"/>
  <c r="BI69" i="1" s="1"/>
  <c r="BK69" i="1" s="1"/>
  <c r="L31" i="1" s="1"/>
  <c r="DE231" i="1" s="1"/>
  <c r="AJ63" i="1"/>
  <c r="AE29" i="1"/>
  <c r="AF29" i="1" s="1"/>
  <c r="AG29" i="1" s="1"/>
  <c r="BW31" i="1"/>
  <c r="AK67" i="1"/>
  <c r="AL67" i="1" s="1"/>
  <c r="BO27" i="1"/>
  <c r="AK64" i="1"/>
  <c r="AL64" i="1" s="1"/>
  <c r="BO24" i="1"/>
  <c r="AC30" i="1"/>
  <c r="I33" i="1"/>
  <c r="AK66" i="1"/>
  <c r="AL66" i="1" s="1"/>
  <c r="BO26" i="1"/>
  <c r="AC32" i="1"/>
  <c r="AM40" i="1"/>
  <c r="BG59" i="1"/>
  <c r="BI59" i="1"/>
  <c r="CE18" i="1"/>
  <c r="BI64" i="1"/>
  <c r="BG64" i="1"/>
  <c r="AJ55" i="1"/>
  <c r="AE21" i="1"/>
  <c r="BI66" i="1"/>
  <c r="BG66" i="1"/>
  <c r="AJ57" i="1"/>
  <c r="AE23" i="1"/>
  <c r="AF23" i="1" s="1"/>
  <c r="AG23" i="1" s="1"/>
  <c r="AK65" i="1"/>
  <c r="AL65" i="1" s="1"/>
  <c r="AC31" i="1"/>
  <c r="BO25" i="1"/>
  <c r="K32" i="1"/>
  <c r="K33" i="1" s="1"/>
  <c r="AJ53" i="1"/>
  <c r="AE19" i="1"/>
  <c r="AF19" i="1" s="1"/>
  <c r="AG19" i="1" s="1"/>
  <c r="BG65" i="1"/>
  <c r="BI65" i="1"/>
  <c r="AE22" i="1"/>
  <c r="AF22" i="1" s="1"/>
  <c r="AG22" i="1" s="1"/>
  <c r="AJ56" i="1"/>
  <c r="AK63" i="1"/>
  <c r="AL63" i="1" s="1"/>
  <c r="AC29" i="1"/>
  <c r="BO23" i="1"/>
  <c r="BG51" i="1"/>
  <c r="BI51" i="1"/>
  <c r="BI53" i="1"/>
  <c r="BG53" i="1"/>
  <c r="DD211" i="1"/>
  <c r="E32" i="1"/>
  <c r="U32" i="1"/>
  <c r="BI56" i="1"/>
  <c r="BG56" i="1"/>
  <c r="BI57" i="1"/>
  <c r="BG57" i="1"/>
  <c r="BJ5" i="1"/>
  <c r="BI52" i="1"/>
  <c r="BG52" i="1"/>
  <c r="BJ10" i="1"/>
  <c r="O32" i="1"/>
  <c r="W32" i="1"/>
  <c r="BI11" i="1"/>
  <c r="BO13" i="1"/>
  <c r="AE15" i="1"/>
  <c r="AF15" i="1" s="1"/>
  <c r="AG15" i="1" s="1"/>
  <c r="BO15" i="1"/>
  <c r="BJ16" i="1"/>
  <c r="BO19" i="1"/>
  <c r="CE20" i="1"/>
  <c r="CE29" i="1" s="1"/>
  <c r="DB221" i="1"/>
  <c r="L21" i="1"/>
  <c r="DE221" i="1" s="1"/>
  <c r="AK58" i="1"/>
  <c r="AL58" i="1" s="1"/>
  <c r="AC24" i="1"/>
  <c r="BO18" i="1"/>
  <c r="AC21" i="1"/>
  <c r="CE22" i="1"/>
  <c r="DB223" i="1"/>
  <c r="L23" i="1"/>
  <c r="DE223" i="1" s="1"/>
  <c r="AK60" i="1"/>
  <c r="AL60" i="1" s="1"/>
  <c r="AC26" i="1"/>
  <c r="BO20" i="1"/>
  <c r="AK62" i="1"/>
  <c r="AL62" i="1" s="1"/>
  <c r="AC28" i="1"/>
  <c r="BO22" i="1"/>
  <c r="AC25" i="1"/>
  <c r="DB229" i="1"/>
  <c r="L29" i="1"/>
  <c r="DE229" i="1" s="1"/>
  <c r="AC33" i="1"/>
  <c r="AL41" i="1"/>
  <c r="DA218" i="1"/>
  <c r="BG63" i="1"/>
  <c r="BI63" i="1"/>
  <c r="BO21" i="1"/>
  <c r="BI67" i="1"/>
  <c r="BG67" i="1"/>
  <c r="AE25" i="1"/>
  <c r="AF25" i="1" s="1"/>
  <c r="AG25" i="1" s="1"/>
  <c r="AE33" i="1"/>
  <c r="AF33" i="1" s="1"/>
  <c r="AG33" i="1" s="1"/>
  <c r="BI68" i="1"/>
  <c r="L25" i="1"/>
  <c r="DE225" i="1" s="1"/>
  <c r="AC27" i="1"/>
  <c r="AT88" i="1"/>
  <c r="DF223" i="1" l="1"/>
  <c r="A23" i="1"/>
  <c r="DF230" i="1"/>
  <c r="A30" i="1"/>
  <c r="DF224" i="1"/>
  <c r="A24" i="1"/>
  <c r="DD232" i="1"/>
  <c r="E33" i="1"/>
  <c r="AF21" i="1"/>
  <c r="AG21" i="1" s="1"/>
  <c r="AL42" i="1"/>
  <c r="AL43" i="1" s="1"/>
  <c r="AN41" i="1"/>
  <c r="AN40" i="1"/>
  <c r="M25" i="1"/>
  <c r="M29" i="1"/>
  <c r="DF226" i="1"/>
  <c r="A26" i="1"/>
  <c r="BW53" i="1"/>
  <c r="BW69" i="1" s="1"/>
  <c r="BZ31" i="1" s="1"/>
  <c r="BN53" i="1"/>
  <c r="BJ53" i="1" s="1"/>
  <c r="AL47" i="1"/>
  <c r="M31" i="1"/>
  <c r="DF231" i="1" s="1"/>
  <c r="DF227" i="1"/>
  <c r="A27" i="1"/>
  <c r="AM66" i="1"/>
  <c r="AN66" i="1" s="1"/>
  <c r="DF222" i="1"/>
  <c r="A22" i="1"/>
  <c r="AM62" i="1"/>
  <c r="AN62" i="1" s="1"/>
  <c r="BX30" i="1"/>
  <c r="AG14" i="1"/>
  <c r="AG2" i="1"/>
  <c r="AM41" i="1"/>
  <c r="M21" i="1"/>
  <c r="M19" i="1"/>
  <c r="DF220" i="1"/>
  <c r="A20" i="1"/>
  <c r="DF228" i="1"/>
  <c r="A28" i="1"/>
  <c r="AF17" i="1"/>
  <c r="AG17" i="1" s="1"/>
  <c r="DF221" i="1" l="1"/>
  <c r="A21" i="1"/>
  <c r="AC43" i="1"/>
  <c r="AC44" i="1" s="1"/>
  <c r="AL46" i="1"/>
  <c r="AL20" i="1" s="1"/>
  <c r="AM53" i="1"/>
  <c r="AN53" i="1" s="1"/>
  <c r="AM55" i="1"/>
  <c r="AN55" i="1" s="1"/>
  <c r="AM56" i="1"/>
  <c r="AN56" i="1" s="1"/>
  <c r="AM61" i="1"/>
  <c r="AN61" i="1" s="1"/>
  <c r="AM59" i="1"/>
  <c r="AN59" i="1" s="1"/>
  <c r="AM67" i="1"/>
  <c r="AN67" i="1" s="1"/>
  <c r="DF229" i="1"/>
  <c r="A29" i="1"/>
  <c r="AM50" i="1"/>
  <c r="AN50" i="1" s="1"/>
  <c r="DA220" i="1"/>
  <c r="BI14" i="1"/>
  <c r="BN17" i="1"/>
  <c r="AM49" i="1"/>
  <c r="AN49" i="1" s="1"/>
  <c r="AM60" i="1"/>
  <c r="AN60" i="1" s="1"/>
  <c r="DA227" i="1"/>
  <c r="BN24" i="1"/>
  <c r="BI21" i="1"/>
  <c r="AM48" i="1"/>
  <c r="AN48" i="1" s="1"/>
  <c r="AM51" i="1"/>
  <c r="AN51" i="1" s="1"/>
  <c r="DF225" i="1"/>
  <c r="A25" i="1"/>
  <c r="DA230" i="1"/>
  <c r="BN27" i="1"/>
  <c r="BI24" i="1"/>
  <c r="AM52" i="1"/>
  <c r="AN52" i="1" s="1"/>
  <c r="AM58" i="1"/>
  <c r="AN58" i="1" s="1"/>
  <c r="AM64" i="1"/>
  <c r="AN64" i="1" s="1"/>
  <c r="AM57" i="1"/>
  <c r="AN57" i="1" s="1"/>
  <c r="DA222" i="1"/>
  <c r="BN19" i="1"/>
  <c r="BI16" i="1"/>
  <c r="DA226" i="1"/>
  <c r="BN23" i="1"/>
  <c r="BI20" i="1"/>
  <c r="AM54" i="1"/>
  <c r="AN54" i="1" s="1"/>
  <c r="DA228" i="1"/>
  <c r="BN25" i="1"/>
  <c r="BI22" i="1"/>
  <c r="DF219" i="1"/>
  <c r="A19" i="1"/>
  <c r="AG3" i="1"/>
  <c r="BC12" i="1" s="1"/>
  <c r="AM42" i="1"/>
  <c r="AM43" i="1" s="1"/>
  <c r="AO40" i="1"/>
  <c r="AM63" i="1"/>
  <c r="AN63" i="1" s="1"/>
  <c r="DA224" i="1"/>
  <c r="BN21" i="1"/>
  <c r="BI18" i="1"/>
  <c r="DA223" i="1"/>
  <c r="BI17" i="1"/>
  <c r="BN20" i="1"/>
  <c r="AM65" i="1"/>
  <c r="AN65" i="1" s="1"/>
  <c r="AN42" i="1" l="1"/>
  <c r="AN43" i="1" s="1"/>
  <c r="AP40" i="1"/>
  <c r="DA225" i="1"/>
  <c r="BI19" i="1"/>
  <c r="BN22" i="1"/>
  <c r="AO49" i="1"/>
  <c r="AP49" i="1" s="1"/>
  <c r="AO59" i="1"/>
  <c r="AP59" i="1" s="1"/>
  <c r="AO41" i="1"/>
  <c r="AO64" i="1"/>
  <c r="AP64" i="1" s="1"/>
  <c r="DA229" i="1"/>
  <c r="BI23" i="1"/>
  <c r="BN26" i="1"/>
  <c r="AO61" i="1"/>
  <c r="AP61" i="1" s="1"/>
  <c r="AN20" i="1"/>
  <c r="AE44" i="1"/>
  <c r="AC45" i="1"/>
  <c r="AO58" i="1"/>
  <c r="AP58" i="1" s="1"/>
  <c r="AO51" i="1"/>
  <c r="AP51" i="1" s="1"/>
  <c r="DA221" i="1"/>
  <c r="BN18" i="1"/>
  <c r="BI15" i="1"/>
  <c r="DA219" i="1"/>
  <c r="BI13" i="1"/>
  <c r="BN16" i="1"/>
  <c r="AO63" i="1"/>
  <c r="AP63" i="1" s="1"/>
  <c r="BC23" i="1"/>
  <c r="BC25" i="1"/>
  <c r="BC24" i="1"/>
  <c r="BC29" i="1"/>
  <c r="AO52" i="1"/>
  <c r="AP52" i="1" s="1"/>
  <c r="AO48" i="1"/>
  <c r="AP48" i="1" s="1"/>
  <c r="AN47" i="1"/>
  <c r="AO53" i="1" s="1"/>
  <c r="AP53" i="1" s="1"/>
  <c r="AO60" i="1"/>
  <c r="AP60" i="1" s="1"/>
  <c r="AO67" i="1"/>
  <c r="AP67" i="1" s="1"/>
  <c r="AO55" i="1"/>
  <c r="AP55" i="1" s="1"/>
  <c r="AO42" i="1" l="1"/>
  <c r="AO43" i="1" s="1"/>
  <c r="AK43" i="1" s="1"/>
  <c r="AQ41" i="1"/>
  <c r="AQ40" i="1"/>
  <c r="AP42" i="1" s="1"/>
  <c r="AP43" i="1" s="1"/>
  <c r="BG24" i="1"/>
  <c r="BK68" i="1" s="1"/>
  <c r="BG18" i="1"/>
  <c r="BK62" i="1" s="1"/>
  <c r="BG23" i="1"/>
  <c r="BK67" i="1" s="1"/>
  <c r="BG22" i="1"/>
  <c r="BK66" i="1" s="1"/>
  <c r="BG21" i="1"/>
  <c r="BK65" i="1" s="1"/>
  <c r="BG20" i="1"/>
  <c r="BK64" i="1" s="1"/>
  <c r="BG15" i="1"/>
  <c r="BK59" i="1" s="1"/>
  <c r="BG13" i="1"/>
  <c r="BK57" i="1" s="1"/>
  <c r="BG12" i="1"/>
  <c r="BK56" i="1" s="1"/>
  <c r="L18" i="1" s="1"/>
  <c r="BG9" i="1"/>
  <c r="BK53" i="1" s="1"/>
  <c r="L15" i="1" s="1"/>
  <c r="BG7" i="1"/>
  <c r="BK51" i="1" s="1"/>
  <c r="L13" i="1" s="1"/>
  <c r="BG6" i="1"/>
  <c r="BK50" i="1" s="1"/>
  <c r="L12" i="1" s="1"/>
  <c r="BG17" i="1"/>
  <c r="BK61" i="1" s="1"/>
  <c r="BG11" i="1"/>
  <c r="BK55" i="1" s="1"/>
  <c r="L17" i="1" s="1"/>
  <c r="BG8" i="1"/>
  <c r="BK52" i="1" s="1"/>
  <c r="L14" i="1" s="1"/>
  <c r="BG19" i="1"/>
  <c r="BK63" i="1" s="1"/>
  <c r="BG16" i="1"/>
  <c r="BK60" i="1" s="1"/>
  <c r="BG14" i="1"/>
  <c r="BK58" i="1" s="1"/>
  <c r="BG10" i="1"/>
  <c r="BK54" i="1" s="1"/>
  <c r="L16" i="1" s="1"/>
  <c r="BG5" i="1"/>
  <c r="AO20" i="1"/>
  <c r="AQ20" i="1"/>
  <c r="AQ82" i="1" s="1"/>
  <c r="AP41" i="1"/>
  <c r="AE45" i="1"/>
  <c r="AC46" i="1"/>
  <c r="AN46" i="1"/>
  <c r="AL21" i="1" s="1"/>
  <c r="AO62" i="1"/>
  <c r="AP62" i="1" s="1"/>
  <c r="AO66" i="1"/>
  <c r="AP66" i="1" s="1"/>
  <c r="AO57" i="1"/>
  <c r="AP57" i="1" s="1"/>
  <c r="AO65" i="1"/>
  <c r="AP65" i="1" s="1"/>
  <c r="AO56" i="1"/>
  <c r="AP56" i="1" s="1"/>
  <c r="AO54" i="1"/>
  <c r="AP54" i="1" s="1"/>
  <c r="AO50" i="1"/>
  <c r="AP50" i="1" s="1"/>
  <c r="AO82" i="1" l="1"/>
  <c r="AU27" i="1"/>
  <c r="AV27" i="1" s="1"/>
  <c r="DE212" i="1"/>
  <c r="M12" i="1"/>
  <c r="DE216" i="1"/>
  <c r="M16" i="1"/>
  <c r="DE214" i="1"/>
  <c r="M14" i="1"/>
  <c r="DF214" i="1" s="1"/>
  <c r="DE213" i="1"/>
  <c r="M13" i="1"/>
  <c r="BK49" i="1"/>
  <c r="L11" i="1" s="1"/>
  <c r="BG25" i="1"/>
  <c r="BG27" i="1" s="1"/>
  <c r="BK70" i="1" s="1"/>
  <c r="AQ65" i="1"/>
  <c r="AR65" i="1" s="1"/>
  <c r="AM21" i="1"/>
  <c r="AN21" i="1"/>
  <c r="DE217" i="1"/>
  <c r="M17" i="1"/>
  <c r="DF217" i="1" s="1"/>
  <c r="DE215" i="1"/>
  <c r="M15" i="1"/>
  <c r="AQ54" i="1"/>
  <c r="AR54" i="1" s="1"/>
  <c r="AE46" i="1"/>
  <c r="AC47" i="1"/>
  <c r="AQ57" i="1"/>
  <c r="AR57" i="1" s="1"/>
  <c r="DE218" i="1"/>
  <c r="M18" i="1"/>
  <c r="DF218" i="1" s="1"/>
  <c r="AP47" i="1"/>
  <c r="DF213" i="1" l="1"/>
  <c r="A13" i="1"/>
  <c r="DF216" i="1"/>
  <c r="A16" i="1"/>
  <c r="DF212" i="1"/>
  <c r="A12" i="1"/>
  <c r="AP46" i="1"/>
  <c r="AL22" i="1" s="1"/>
  <c r="AQ58" i="1"/>
  <c r="AR58" i="1" s="1"/>
  <c r="AQ61" i="1"/>
  <c r="AR61" i="1" s="1"/>
  <c r="AQ63" i="1"/>
  <c r="AR63" i="1" s="1"/>
  <c r="AQ53" i="1"/>
  <c r="AR53" i="1" s="1"/>
  <c r="AQ51" i="1"/>
  <c r="AR51" i="1" s="1"/>
  <c r="AQ64" i="1"/>
  <c r="AR64" i="1" s="1"/>
  <c r="AQ60" i="1"/>
  <c r="AR60" i="1" s="1"/>
  <c r="AQ55" i="1"/>
  <c r="AR55" i="1" s="1"/>
  <c r="AQ49" i="1"/>
  <c r="AR49" i="1" s="1"/>
  <c r="AQ67" i="1"/>
  <c r="AR67" i="1" s="1"/>
  <c r="AQ59" i="1"/>
  <c r="AR59" i="1" s="1"/>
  <c r="AQ48" i="1"/>
  <c r="AR48" i="1" s="1"/>
  <c r="AQ52" i="1"/>
  <c r="AR52" i="1" s="1"/>
  <c r="AQ50" i="1"/>
  <c r="AR50" i="1" s="1"/>
  <c r="DF215" i="1"/>
  <c r="A15" i="1"/>
  <c r="AR21" i="1"/>
  <c r="AR83" i="1" s="1"/>
  <c r="AO21" i="1"/>
  <c r="AQ21" i="1"/>
  <c r="AQ83" i="1" s="1"/>
  <c r="DE211" i="1"/>
  <c r="M11" i="1"/>
  <c r="AQ62" i="1"/>
  <c r="AR62" i="1" s="1"/>
  <c r="AE47" i="1"/>
  <c r="AC48" i="1"/>
  <c r="AQ6" i="1"/>
  <c r="AR20" i="1"/>
  <c r="AR82" i="1" s="1"/>
  <c r="AW27" i="1"/>
  <c r="AT27" i="1" s="1"/>
  <c r="AQ66" i="1"/>
  <c r="AR66" i="1" s="1"/>
  <c r="AQ56" i="1"/>
  <c r="AR56" i="1" s="1"/>
  <c r="AT82" i="1"/>
  <c r="AT63" i="1" l="1"/>
  <c r="AU63" i="1" s="1"/>
  <c r="DA213" i="1"/>
  <c r="BN10" i="1"/>
  <c r="BI7" i="1"/>
  <c r="DF211" i="1"/>
  <c r="M32" i="1"/>
  <c r="AT50" i="1"/>
  <c r="AU50" i="1" s="1"/>
  <c r="AT52" i="1"/>
  <c r="AU52" i="1" s="1"/>
  <c r="DA216" i="1"/>
  <c r="BN13" i="1"/>
  <c r="BI10" i="1"/>
  <c r="AO83" i="1"/>
  <c r="AT83" i="1" s="1"/>
  <c r="AU28" i="1"/>
  <c r="AV28" i="1" s="1"/>
  <c r="DA212" i="1"/>
  <c r="BI6" i="1"/>
  <c r="BN9" i="1"/>
  <c r="AC49" i="1"/>
  <c r="AE48" i="1"/>
  <c r="DA215" i="1"/>
  <c r="BN12" i="1"/>
  <c r="BI9" i="1"/>
  <c r="AT48" i="1"/>
  <c r="AU48" i="1" s="1"/>
  <c r="AR47" i="1"/>
  <c r="AT62" i="1" s="1"/>
  <c r="AU62" i="1" s="1"/>
  <c r="AT55" i="1"/>
  <c r="AU55" i="1" s="1"/>
  <c r="AT53" i="1"/>
  <c r="AU53" i="1" s="1"/>
  <c r="AM22" i="1"/>
  <c r="AW28" i="1" s="1"/>
  <c r="AT28" i="1" s="1"/>
  <c r="AN22" i="1"/>
  <c r="AC50" i="1" l="1"/>
  <c r="AE49" i="1"/>
  <c r="AT58" i="1"/>
  <c r="AU58" i="1" s="1"/>
  <c r="AT61" i="1"/>
  <c r="AU61" i="1" s="1"/>
  <c r="DA211" i="1"/>
  <c r="BN8" i="1"/>
  <c r="BI5" i="1"/>
  <c r="AT60" i="1"/>
  <c r="AU60" i="1" s="1"/>
  <c r="AR22" i="1"/>
  <c r="AR84" i="1" s="1"/>
  <c r="AO22" i="1"/>
  <c r="AQ22" i="1"/>
  <c r="AQ84" i="1" s="1"/>
  <c r="AT66" i="1"/>
  <c r="AU66" i="1" s="1"/>
  <c r="AT51" i="1"/>
  <c r="AU51" i="1" s="1"/>
  <c r="AT64" i="1"/>
  <c r="AU64" i="1" s="1"/>
  <c r="DF232" i="1"/>
  <c r="M33" i="1"/>
  <c r="U4" i="1" s="1"/>
  <c r="AR46" i="1"/>
  <c r="AT57" i="1"/>
  <c r="AU57" i="1" s="1"/>
  <c r="AT65" i="1"/>
  <c r="AU65" i="1" s="1"/>
  <c r="AT54" i="1"/>
  <c r="AU54" i="1" s="1"/>
  <c r="AT56" i="1"/>
  <c r="AU56" i="1" s="1"/>
  <c r="AT59" i="1"/>
  <c r="AU59" i="1" s="1"/>
  <c r="AT49" i="1"/>
  <c r="AU49" i="1" s="1"/>
  <c r="AT67" i="1"/>
  <c r="AU67" i="1" s="1"/>
  <c r="AU47" i="1" l="1"/>
  <c r="AV49" i="1" s="1"/>
  <c r="AW49" i="1" s="1"/>
  <c r="AO84" i="1"/>
  <c r="AT84" i="1" s="1"/>
  <c r="AU29" i="1"/>
  <c r="AV29" i="1" s="1"/>
  <c r="AC51" i="1"/>
  <c r="AE50" i="1"/>
  <c r="AL23" i="1"/>
  <c r="AV66" i="1"/>
  <c r="AW66" i="1" s="1"/>
  <c r="AV59" i="1" l="1"/>
  <c r="AW59" i="1" s="1"/>
  <c r="AC52" i="1"/>
  <c r="AE51" i="1"/>
  <c r="AV61" i="1"/>
  <c r="AW61" i="1" s="1"/>
  <c r="AV65" i="1"/>
  <c r="AW65" i="1" s="1"/>
  <c r="AV54" i="1"/>
  <c r="AW54" i="1" s="1"/>
  <c r="AV51" i="1"/>
  <c r="AW51" i="1" s="1"/>
  <c r="AV60" i="1"/>
  <c r="AW60" i="1" s="1"/>
  <c r="AU46" i="1"/>
  <c r="AL24" i="1" s="1"/>
  <c r="AV62" i="1"/>
  <c r="AW62" i="1" s="1"/>
  <c r="AV52" i="1"/>
  <c r="AW52" i="1" s="1"/>
  <c r="AV55" i="1"/>
  <c r="AW55" i="1" s="1"/>
  <c r="AV50" i="1"/>
  <c r="AW50" i="1" s="1"/>
  <c r="AV63" i="1"/>
  <c r="AW63" i="1" s="1"/>
  <c r="AV48" i="1"/>
  <c r="AW48" i="1" s="1"/>
  <c r="AV53" i="1"/>
  <c r="AW53" i="1" s="1"/>
  <c r="AM23" i="1"/>
  <c r="AW29" i="1" s="1"/>
  <c r="AT29" i="1" s="1"/>
  <c r="AN23" i="1"/>
  <c r="AV56" i="1"/>
  <c r="AW56" i="1" s="1"/>
  <c r="AV58" i="1"/>
  <c r="AW58" i="1" s="1"/>
  <c r="AV57" i="1"/>
  <c r="AW57" i="1" s="1"/>
  <c r="AV64" i="1"/>
  <c r="AW64" i="1" s="1"/>
  <c r="AV67" i="1"/>
  <c r="AW67" i="1" s="1"/>
  <c r="AN24" i="1" l="1"/>
  <c r="AM24" i="1"/>
  <c r="AC53" i="1"/>
  <c r="AE52" i="1"/>
  <c r="AW47" i="1"/>
  <c r="AW46" i="1" s="1"/>
  <c r="AL25" i="1" s="1"/>
  <c r="AR23" i="1"/>
  <c r="AR85" i="1" s="1"/>
  <c r="AQ23" i="1"/>
  <c r="AQ85" i="1" s="1"/>
  <c r="AO23" i="1"/>
  <c r="AW30" i="1"/>
  <c r="AT30" i="1" s="1"/>
  <c r="AN25" i="1" l="1"/>
  <c r="AM25" i="1"/>
  <c r="AC54" i="1"/>
  <c r="AE53" i="1"/>
  <c r="AO85" i="1"/>
  <c r="AT85" i="1" s="1"/>
  <c r="AU30" i="1"/>
  <c r="AV30" i="1" s="1"/>
  <c r="AQ24" i="1"/>
  <c r="AQ86" i="1" s="1"/>
  <c r="AO24" i="1"/>
  <c r="AW31" i="1"/>
  <c r="AT31" i="1" s="1"/>
  <c r="AR24" i="1"/>
  <c r="AR86" i="1" s="1"/>
  <c r="AO25" i="1" l="1"/>
  <c r="AR25" i="1"/>
  <c r="AR87" i="1" s="1"/>
  <c r="AQ25" i="1"/>
  <c r="AQ87" i="1" s="1"/>
  <c r="AW32" i="1"/>
  <c r="AT32" i="1" s="1"/>
  <c r="AC55" i="1"/>
  <c r="AE54" i="1"/>
  <c r="AO86" i="1"/>
  <c r="AT86" i="1" s="1"/>
  <c r="AU31" i="1"/>
  <c r="AV31" i="1" s="1"/>
  <c r="AC56" i="1" l="1"/>
  <c r="AE55" i="1"/>
  <c r="AO87" i="1"/>
  <c r="AT87" i="1" s="1"/>
  <c r="AT89" i="1" s="1"/>
  <c r="AQ9" i="1" s="1"/>
  <c r="AU32" i="1"/>
  <c r="AV32" i="1" s="1"/>
  <c r="AV26" i="1" s="1"/>
  <c r="AC57" i="1" l="1"/>
  <c r="AE56" i="1"/>
  <c r="AC58" i="1" l="1"/>
  <c r="AE57" i="1"/>
  <c r="AE58" i="1" l="1"/>
  <c r="AC59" i="1"/>
  <c r="AC60" i="1" l="1"/>
  <c r="AE59" i="1"/>
  <c r="AE60" i="1" l="1"/>
  <c r="AC61" i="1"/>
  <c r="AC62" i="1" l="1"/>
  <c r="AE61" i="1"/>
  <c r="AE62" i="1" l="1"/>
  <c r="AC63" i="1"/>
  <c r="AE63" i="1" s="1"/>
</calcChain>
</file>

<file path=xl/sharedStrings.xml><?xml version="1.0" encoding="utf-8"?>
<sst xmlns="http://schemas.openxmlformats.org/spreadsheetml/2006/main" count="186" uniqueCount="131">
  <si>
    <t>Stage 5</t>
  </si>
  <si>
    <t>Date of Poll</t>
  </si>
  <si>
    <t>Decision Making  Elected / Exclude / Transfer Stage 5</t>
  </si>
  <si>
    <t>TRANSFER OF SURPLUS VOTES FORM</t>
  </si>
  <si>
    <t>EXCLUSION OF CANDIDATE(S) FORM</t>
  </si>
  <si>
    <t>BACK to DECISION FORM Stage 5</t>
  </si>
  <si>
    <t>Total surplus votes</t>
  </si>
  <si>
    <t>AE 113</t>
  </si>
  <si>
    <t>BACK to DECISION FORM</t>
  </si>
  <si>
    <t xml:space="preserve">Eligible Electorate </t>
  </si>
  <si>
    <t>Number to be Elected</t>
  </si>
  <si>
    <t xml:space="preserve">Invalid Votes </t>
  </si>
  <si>
    <t xml:space="preserve">Electoral Quota of </t>
  </si>
  <si>
    <t>Largest surplus value</t>
  </si>
  <si>
    <t>Exclusion of Candidate(s)</t>
  </si>
  <si>
    <t>Sean Mac Cearain</t>
  </si>
  <si>
    <t xml:space="preserve">Votes Polled </t>
  </si>
  <si>
    <t>Total Valid Votes</t>
  </si>
  <si>
    <t xml:space="preserve">% Poll </t>
  </si>
  <si>
    <t>FORWARD TO STAGE 6</t>
  </si>
  <si>
    <t>Quota</t>
  </si>
  <si>
    <t>Next Available Preference (f)</t>
  </si>
  <si>
    <t>Number of Papers (g)</t>
  </si>
  <si>
    <t>Value Credited (q) (g) x (k) or (g) x (e)</t>
  </si>
  <si>
    <t>Transfer Enter y</t>
  </si>
  <si>
    <t>Elected?</t>
  </si>
  <si>
    <t>Excluded ?</t>
  </si>
  <si>
    <t>Exclude</t>
  </si>
  <si>
    <t xml:space="preserve">Decision </t>
  </si>
  <si>
    <t>TRANSFER SURPLUS y or n</t>
  </si>
  <si>
    <t>n</t>
  </si>
  <si>
    <t>If exclude enter y</t>
  </si>
  <si>
    <t>First Preference</t>
  </si>
  <si>
    <t>Others</t>
  </si>
  <si>
    <t>Value</t>
  </si>
  <si>
    <t>Total Papers</t>
  </si>
  <si>
    <t>Stage 1</t>
  </si>
  <si>
    <t>Stage 2</t>
  </si>
  <si>
    <t>Stage 3</t>
  </si>
  <si>
    <t>Stage 4</t>
  </si>
  <si>
    <t>Stage 6</t>
  </si>
  <si>
    <t>Stage 7</t>
  </si>
  <si>
    <t>Stage 8</t>
  </si>
  <si>
    <t>Stage 9</t>
  </si>
  <si>
    <t>Stage 10</t>
  </si>
  <si>
    <t>BACK to Overview of STAGE 4</t>
  </si>
  <si>
    <t>Q1</t>
  </si>
  <si>
    <t>If the total surplus is transferred to lowest candidate - would this make a difference to the order - if yes - transfer the largest surplus, otherwise Exclude</t>
  </si>
  <si>
    <t>@</t>
  </si>
  <si>
    <t>Transfer</t>
  </si>
  <si>
    <t>Elected ?</t>
  </si>
  <si>
    <t>Vote</t>
  </si>
  <si>
    <t>Next Available Preference</t>
  </si>
  <si>
    <t>Papers</t>
  </si>
  <si>
    <t>Total Value Credited</t>
  </si>
  <si>
    <t>TRANSFER THE SURPLUS VOTE OF CANDIDATE</t>
  </si>
  <si>
    <t>Result</t>
  </si>
  <si>
    <t>Q2</t>
  </si>
  <si>
    <t>If the total surplus is transferred, the lowest candidate(s) will inevitably continue to be excluded, then exclude this/these candidate(s)</t>
  </si>
  <si>
    <t>Elected</t>
  </si>
  <si>
    <t>No</t>
  </si>
  <si>
    <t>Candidate</t>
  </si>
  <si>
    <t>Description</t>
  </si>
  <si>
    <t>1st Preference</t>
  </si>
  <si>
    <t>Total</t>
  </si>
  <si>
    <t>Candidate's present vote</t>
  </si>
  <si>
    <t>(a)</t>
  </si>
  <si>
    <t>(b)</t>
  </si>
  <si>
    <t>Surplus of transfer</t>
  </si>
  <si>
    <t>(a) - (b) = (c)</t>
  </si>
  <si>
    <t>y</t>
  </si>
  <si>
    <t>Present vote</t>
  </si>
  <si>
    <t>Difference</t>
  </si>
  <si>
    <t>Status</t>
  </si>
  <si>
    <t>Surplus</t>
  </si>
  <si>
    <t>Present Vote</t>
  </si>
  <si>
    <t>Potential Total if all lower candidates excluded &amp; surplus transferred</t>
  </si>
  <si>
    <t>Exclude ?</t>
  </si>
  <si>
    <t>Number of papers for review</t>
  </si>
  <si>
    <t>(d)</t>
  </si>
  <si>
    <t>Present value of each paper</t>
  </si>
  <si>
    <t>(e)</t>
  </si>
  <si>
    <t>COMPLETE COLUMNS (f) AND (g) OPPOSITE</t>
  </si>
  <si>
    <t>Number of papers transferable</t>
  </si>
  <si>
    <t>(h)</t>
  </si>
  <si>
    <t>Present total value of transferable papers</t>
  </si>
  <si>
    <t>(h) x (e) = (j)</t>
  </si>
  <si>
    <t>Lowest votes</t>
  </si>
  <si>
    <t>next lowest</t>
  </si>
  <si>
    <t>If the present total value (j) of transferable papers EXCEEDS the surplus (c)</t>
  </si>
  <si>
    <t>The TRANSFER VALUE is the reduced value (to 2 decimal places ignoring remainder)</t>
  </si>
  <si>
    <t>(c) / (h) = (k)</t>
  </si>
  <si>
    <t>New total value of transferable papers</t>
  </si>
  <si>
    <t>(h) x (k) = (m)</t>
  </si>
  <si>
    <t>Non- transferable difference</t>
  </si>
  <si>
    <t>(c) - (m) = (n)</t>
  </si>
  <si>
    <t>Transferable Totals (h)</t>
  </si>
  <si>
    <t>Non- transferable papers (I)</t>
  </si>
  <si>
    <t>If the present total value (j) of transferable papers DOES NOT EXCEED the surplus (c)</t>
  </si>
  <si>
    <t>Total papers/Surplus (d) &amp; (c)</t>
  </si>
  <si>
    <t>MOVE TO TRANSFER OF SURPLUS VOTES FORM</t>
  </si>
  <si>
    <t>Non Transferable</t>
  </si>
  <si>
    <t>The TRANSFER VALUE is the present value</t>
  </si>
  <si>
    <t>Check figure</t>
  </si>
  <si>
    <t>TOTALS</t>
  </si>
  <si>
    <t>FORWARD to OVERVIEW OF STAGE 5</t>
  </si>
  <si>
    <t>Non transferable</t>
  </si>
  <si>
    <t>MOVE TO EXCLUDE CANDIDATE FORM</t>
  </si>
  <si>
    <t>Non-transferable difference</t>
  </si>
  <si>
    <t>(c) - (j) = (p)</t>
  </si>
  <si>
    <t>Extent of error</t>
  </si>
  <si>
    <t>Totals</t>
  </si>
  <si>
    <t xml:space="preserve">Enter Timings </t>
  </si>
  <si>
    <r>
      <t xml:space="preserve">Please see below a new </t>
    </r>
    <r>
      <rPr>
        <b/>
        <sz val="10"/>
        <rFont val="Arial"/>
        <family val="2"/>
      </rPr>
      <t>trial</t>
    </r>
    <r>
      <rPr>
        <sz val="10"/>
        <rFont val="Arial"/>
        <family val="2"/>
      </rPr>
      <t xml:space="preserve"> layout for the management of exclusions that reviews</t>
    </r>
  </si>
  <si>
    <t>all the candidates in the election rtaher than just the top 6 candidates</t>
  </si>
  <si>
    <t>TRIAL CHECK FOR EXCLUSIONS</t>
  </si>
  <si>
    <t>Exclude?</t>
  </si>
  <si>
    <t>Table to sort lowest candiditates votes into reverse order</t>
  </si>
  <si>
    <t>Summation to Overview</t>
  </si>
  <si>
    <t xml:space="preserve">Selected Candidate </t>
  </si>
  <si>
    <t>From Transfer Form</t>
  </si>
  <si>
    <t>From Exclude form</t>
  </si>
  <si>
    <t>Results Carried to Overview</t>
  </si>
  <si>
    <t>From exclude form</t>
  </si>
  <si>
    <t>Check Calcs</t>
  </si>
  <si>
    <t>Non Transferable vote</t>
  </si>
  <si>
    <t>Deemed Elected</t>
  </si>
  <si>
    <t>Party Description</t>
  </si>
  <si>
    <t>5th Stage Received</t>
  </si>
  <si>
    <t>Total Votes Polled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</si>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</sst>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£&quot;* #,##0.00_-;\-&quot;£&quot;* #,##0.00_-;_-&quot;£&quot;* &quot;-&quot;??_-;_-@_-"/>
    <numFmt numFmtId="164" formatCode="hh:mm:ss;@"/>
  </numFmts>
  <fonts count="14" x14ac:knownFonts="1">
    <font>
      <sz val="10"/>
      <name val="Arial"/>
    </font>
    <font>
      <b/>
      <sz val="14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b/>
      <sz val="16"/>
      <color indexed="10"/>
      <name val="Arial"/>
      <family val="2"/>
    </font>
    <font>
      <u/>
      <sz val="10"/>
      <color indexed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indexed="10"/>
      <name val="Arial"/>
      <family val="2"/>
    </font>
    <font>
      <sz val="10"/>
      <name val="Arial"/>
      <family val="2"/>
    </font>
    <font>
      <sz val="12"/>
      <color indexed="10"/>
      <name val="Arial"/>
      <family val="2"/>
    </font>
    <font>
      <b/>
      <sz val="10"/>
      <color indexed="12"/>
      <name val="Arial"/>
      <family val="2"/>
    </font>
    <font>
      <sz val="10"/>
      <color rgb="FFFF0000"/>
      <name val="Arial"/>
      <family val="2"/>
    </font>
    <font>
      <sz val="12"/>
      <name val="Arial Black"/>
      <family val="2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22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right"/>
    </xf>
    <xf numFmtId="15" fontId="2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2" borderId="1" xfId="1" applyFill="1" applyBorder="1" applyAlignment="1" applyProtection="1">
      <alignment horizontal="center" vertical="center"/>
    </xf>
    <xf numFmtId="0" fontId="5" fillId="2" borderId="2" xfId="1" applyFill="1" applyBorder="1" applyAlignment="1" applyProtection="1">
      <alignment horizontal="center" vertical="center"/>
    </xf>
    <xf numFmtId="0" fontId="5" fillId="2" borderId="3" xfId="1" applyFill="1" applyBorder="1" applyAlignment="1" applyProtection="1">
      <alignment horizontal="center" vertical="center"/>
    </xf>
    <xf numFmtId="0" fontId="6" fillId="0" borderId="0" xfId="0" applyFont="1" applyAlignment="1">
      <alignment horizontal="right"/>
    </xf>
    <xf numFmtId="0" fontId="6" fillId="0" borderId="4" xfId="0" applyFont="1" applyBorder="1" applyAlignment="1">
      <alignment horizontal="right"/>
    </xf>
    <xf numFmtId="0" fontId="0" fillId="0" borderId="5" xfId="0" applyBorder="1" applyAlignment="1">
      <alignment horizontal="center"/>
    </xf>
    <xf numFmtId="15" fontId="0" fillId="0" borderId="0" xfId="0" applyNumberFormat="1"/>
    <xf numFmtId="0" fontId="0" fillId="0" borderId="0" xfId="0" applyAlignment="1">
      <alignment horizontal="right"/>
    </xf>
    <xf numFmtId="0" fontId="7" fillId="0" borderId="0" xfId="0" applyFont="1"/>
    <xf numFmtId="0" fontId="2" fillId="3" borderId="6" xfId="0" applyFont="1" applyFill="1" applyBorder="1"/>
    <xf numFmtId="0" fontId="0" fillId="0" borderId="7" xfId="0" applyBorder="1" applyAlignment="1">
      <alignment horizontal="right"/>
    </xf>
    <xf numFmtId="0" fontId="0" fillId="0" borderId="4" xfId="0" applyBorder="1" applyAlignment="1">
      <alignment horizontal="right"/>
    </xf>
    <xf numFmtId="0" fontId="2" fillId="3" borderId="5" xfId="0" applyFont="1" applyFill="1" applyBorder="1"/>
    <xf numFmtId="44" fontId="5" fillId="0" borderId="0" xfId="1" applyNumberFormat="1" applyFill="1" applyBorder="1" applyAlignment="1" applyProtection="1"/>
    <xf numFmtId="0" fontId="7" fillId="0" borderId="5" xfId="0" applyFont="1" applyBorder="1" applyAlignment="1">
      <alignment horizontal="center"/>
    </xf>
    <xf numFmtId="0" fontId="6" fillId="0" borderId="0" xfId="0" applyFont="1"/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0" borderId="0" xfId="0" applyAlignment="1">
      <alignment horizontal="right"/>
    </xf>
    <xf numFmtId="0" fontId="2" fillId="3" borderId="8" xfId="0" applyFont="1" applyFill="1" applyBorder="1"/>
    <xf numFmtId="2" fontId="2" fillId="3" borderId="5" xfId="0" applyNumberFormat="1" applyFont="1" applyFill="1" applyBorder="1"/>
    <xf numFmtId="0" fontId="0" fillId="0" borderId="0" xfId="0" applyAlignment="1">
      <alignment horizontal="center" vertical="center"/>
    </xf>
    <xf numFmtId="0" fontId="6" fillId="0" borderId="5" xfId="0" applyFont="1" applyBorder="1" applyAlignment="1">
      <alignment horizontal="center"/>
    </xf>
    <xf numFmtId="0" fontId="1" fillId="0" borderId="0" xfId="0" applyFont="1" applyAlignment="1">
      <alignment vertical="top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1" xfId="0" applyBorder="1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5" fillId="0" borderId="0" xfId="1" applyFill="1" applyBorder="1" applyAlignment="1" applyProtection="1">
      <alignment horizontal="left"/>
    </xf>
    <xf numFmtId="0" fontId="0" fillId="0" borderId="0" xfId="0" applyAlignment="1">
      <alignment horizontal="left"/>
    </xf>
    <xf numFmtId="0" fontId="9" fillId="0" borderId="0" xfId="0" applyFont="1"/>
    <xf numFmtId="0" fontId="8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8" fillId="4" borderId="5" xfId="0" applyFont="1" applyFill="1" applyBorder="1" applyAlignment="1">
      <alignment horizontal="center" vertical="center"/>
    </xf>
    <xf numFmtId="0" fontId="0" fillId="0" borderId="12" xfId="0" applyBorder="1" applyAlignment="1">
      <alignment horizontal="right"/>
    </xf>
    <xf numFmtId="0" fontId="0" fillId="0" borderId="13" xfId="0" applyBorder="1"/>
    <xf numFmtId="0" fontId="0" fillId="4" borderId="12" xfId="0" applyFill="1" applyBorder="1"/>
    <xf numFmtId="0" fontId="0" fillId="0" borderId="14" xfId="0" applyBorder="1"/>
    <xf numFmtId="0" fontId="0" fillId="4" borderId="15" xfId="0" applyFill="1" applyBorder="1"/>
    <xf numFmtId="0" fontId="0" fillId="0" borderId="12" xfId="0" applyBorder="1"/>
    <xf numFmtId="0" fontId="0" fillId="0" borderId="0" xfId="0" applyAlignment="1">
      <alignment horizontal="center" wrapText="1"/>
    </xf>
    <xf numFmtId="0" fontId="0" fillId="0" borderId="16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5" borderId="12" xfId="0" applyFill="1" applyBorder="1" applyAlignment="1">
      <alignment horizontal="right"/>
    </xf>
    <xf numFmtId="0" fontId="0" fillId="0" borderId="18" xfId="0" applyBorder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5" fillId="2" borderId="19" xfId="1" applyFill="1" applyBorder="1" applyAlignment="1" applyProtection="1">
      <alignment horizontal="center" vertical="center"/>
    </xf>
    <xf numFmtId="0" fontId="5" fillId="2" borderId="20" xfId="1" applyFill="1" applyBorder="1" applyAlignment="1" applyProtection="1">
      <alignment horizontal="center" vertical="center"/>
    </xf>
    <xf numFmtId="0" fontId="5" fillId="2" borderId="21" xfId="1" applyFill="1" applyBorder="1" applyAlignment="1" applyProtection="1">
      <alignment horizontal="center" vertical="center"/>
    </xf>
    <xf numFmtId="0" fontId="0" fillId="0" borderId="0" xfId="0" applyAlignment="1">
      <alignment horizontal="left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0" fillId="0" borderId="12" xfId="0" applyBorder="1" applyAlignment="1">
      <alignment horizontal="center"/>
    </xf>
    <xf numFmtId="0" fontId="0" fillId="0" borderId="16" xfId="0" applyBorder="1" applyAlignment="1">
      <alignment horizontal="right"/>
    </xf>
    <xf numFmtId="0" fontId="0" fillId="4" borderId="5" xfId="0" applyFill="1" applyBorder="1" applyAlignment="1">
      <alignment horizontal="center"/>
    </xf>
    <xf numFmtId="0" fontId="0" fillId="0" borderId="22" xfId="0" applyBorder="1" applyAlignment="1">
      <alignment horizontal="right"/>
    </xf>
    <xf numFmtId="0" fontId="0" fillId="5" borderId="12" xfId="0" applyFill="1" applyBorder="1"/>
    <xf numFmtId="0" fontId="0" fillId="0" borderId="23" xfId="0" applyBorder="1"/>
    <xf numFmtId="0" fontId="0" fillId="3" borderId="1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24" xfId="0" applyFill="1" applyBorder="1" applyAlignment="1">
      <alignment horizontal="center"/>
    </xf>
    <xf numFmtId="0" fontId="0" fillId="3" borderId="25" xfId="0" applyFill="1" applyBorder="1" applyAlignment="1">
      <alignment horizontal="center"/>
    </xf>
    <xf numFmtId="0" fontId="5" fillId="2" borderId="26" xfId="1" applyFill="1" applyBorder="1" applyAlignment="1" applyProtection="1">
      <alignment horizontal="center" vertical="center"/>
    </xf>
    <xf numFmtId="0" fontId="5" fillId="2" borderId="27" xfId="1" applyFill="1" applyBorder="1" applyAlignment="1" applyProtection="1">
      <alignment horizontal="center" vertical="center"/>
    </xf>
    <xf numFmtId="0" fontId="5" fillId="2" borderId="28" xfId="1" applyFill="1" applyBorder="1" applyAlignment="1" applyProtection="1">
      <alignment horizontal="center" vertical="center"/>
    </xf>
    <xf numFmtId="0" fontId="0" fillId="0" borderId="0" xfId="0" applyAlignment="1">
      <alignment horizontal="center"/>
    </xf>
    <xf numFmtId="0" fontId="0" fillId="0" borderId="29" xfId="0" applyBorder="1" applyAlignment="1">
      <alignment horizontal="center" wrapText="1"/>
    </xf>
    <xf numFmtId="0" fontId="0" fillId="0" borderId="30" xfId="0" applyBorder="1"/>
    <xf numFmtId="0" fontId="0" fillId="0" borderId="12" xfId="0" applyBorder="1" applyAlignment="1">
      <alignment wrapText="1"/>
    </xf>
    <xf numFmtId="0" fontId="0" fillId="3" borderId="31" xfId="0" applyFill="1" applyBorder="1" applyAlignment="1">
      <alignment horizontal="center"/>
    </xf>
    <xf numFmtId="0" fontId="0" fillId="3" borderId="32" xfId="0" applyFill="1" applyBorder="1" applyAlignment="1">
      <alignment horizontal="center"/>
    </xf>
    <xf numFmtId="0" fontId="0" fillId="3" borderId="26" xfId="0" applyFill="1" applyBorder="1" applyAlignment="1">
      <alignment horizontal="center"/>
    </xf>
    <xf numFmtId="0" fontId="0" fillId="3" borderId="28" xfId="0" applyFill="1" applyBorder="1" applyAlignment="1">
      <alignment horizontal="center"/>
    </xf>
    <xf numFmtId="0" fontId="0" fillId="3" borderId="33" xfId="0" applyFill="1" applyBorder="1" applyAlignment="1">
      <alignment horizontal="center"/>
    </xf>
    <xf numFmtId="0" fontId="0" fillId="3" borderId="34" xfId="0" applyFill="1" applyBorder="1" applyAlignment="1">
      <alignment horizontal="center"/>
    </xf>
    <xf numFmtId="0" fontId="2" fillId="0" borderId="0" xfId="0" applyFont="1"/>
    <xf numFmtId="0" fontId="0" fillId="4" borderId="12" xfId="0" applyFill="1" applyBorder="1" applyAlignment="1">
      <alignment horizontal="center"/>
    </xf>
    <xf numFmtId="0" fontId="0" fillId="0" borderId="12" xfId="0" applyBorder="1" applyAlignment="1">
      <alignment horizontal="left"/>
    </xf>
    <xf numFmtId="0" fontId="0" fillId="0" borderId="35" xfId="0" applyBorder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8" fillId="0" borderId="0" xfId="0" applyFont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0" fillId="0" borderId="19" xfId="0" applyBorder="1"/>
    <xf numFmtId="0" fontId="0" fillId="0" borderId="20" xfId="0" applyBorder="1"/>
    <xf numFmtId="0" fontId="0" fillId="0" borderId="20" xfId="0" applyBorder="1" applyAlignment="1">
      <alignment horizontal="left"/>
    </xf>
    <xf numFmtId="0" fontId="0" fillId="0" borderId="5" xfId="0" applyBorder="1"/>
    <xf numFmtId="0" fontId="0" fillId="0" borderId="19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0" xfId="0" applyBorder="1" applyAlignment="1">
      <alignment horizontal="center"/>
    </xf>
    <xf numFmtId="2" fontId="0" fillId="4" borderId="5" xfId="0" applyNumberFormat="1" applyFill="1" applyBorder="1"/>
    <xf numFmtId="0" fontId="0" fillId="0" borderId="6" xfId="0" applyBorder="1"/>
    <xf numFmtId="0" fontId="0" fillId="4" borderId="12" xfId="0" applyFill="1" applyBorder="1" applyProtection="1">
      <protection locked="0"/>
    </xf>
    <xf numFmtId="0" fontId="0" fillId="0" borderId="36" xfId="0" applyBorder="1"/>
    <xf numFmtId="2" fontId="0" fillId="0" borderId="25" xfId="0" applyNumberFormat="1" applyBorder="1"/>
    <xf numFmtId="2" fontId="0" fillId="3" borderId="9" xfId="0" applyNumberFormat="1" applyFill="1" applyBorder="1"/>
    <xf numFmtId="2" fontId="0" fillId="0" borderId="9" xfId="0" applyNumberFormat="1" applyBorder="1"/>
    <xf numFmtId="2" fontId="0" fillId="0" borderId="37" xfId="0" applyNumberFormat="1" applyBorder="1"/>
    <xf numFmtId="2" fontId="0" fillId="3" borderId="24" xfId="0" applyNumberFormat="1" applyFill="1" applyBorder="1"/>
    <xf numFmtId="2" fontId="0" fillId="0" borderId="11" xfId="0" applyNumberFormat="1" applyBorder="1"/>
    <xf numFmtId="0" fontId="0" fillId="0" borderId="38" xfId="0" applyBorder="1"/>
    <xf numFmtId="0" fontId="0" fillId="0" borderId="22" xfId="0" applyBorder="1"/>
    <xf numFmtId="2" fontId="0" fillId="0" borderId="32" xfId="0" applyNumberFormat="1" applyBorder="1"/>
    <xf numFmtId="2" fontId="0" fillId="0" borderId="5" xfId="0" applyNumberFormat="1" applyBorder="1"/>
    <xf numFmtId="0" fontId="0" fillId="0" borderId="20" xfId="0" applyBorder="1" applyAlignment="1">
      <alignment horizontal="right"/>
    </xf>
    <xf numFmtId="0" fontId="0" fillId="0" borderId="2" xfId="0" applyBorder="1"/>
    <xf numFmtId="0" fontId="0" fillId="0" borderId="3" xfId="0" applyBorder="1"/>
    <xf numFmtId="0" fontId="3" fillId="0" borderId="19" xfId="0" applyFont="1" applyBorder="1"/>
    <xf numFmtId="0" fontId="0" fillId="0" borderId="20" xfId="0" applyBorder="1" applyAlignment="1">
      <alignment horizontal="center" wrapText="1"/>
    </xf>
    <xf numFmtId="0" fontId="0" fillId="0" borderId="20" xfId="0" applyBorder="1" applyAlignment="1">
      <alignment horizontal="center"/>
    </xf>
    <xf numFmtId="0" fontId="0" fillId="0" borderId="21" xfId="0" applyBorder="1"/>
    <xf numFmtId="0" fontId="0" fillId="4" borderId="18" xfId="0" applyFill="1" applyBorder="1"/>
    <xf numFmtId="0" fontId="9" fillId="4" borderId="12" xfId="0" applyFont="1" applyFill="1" applyBorder="1"/>
    <xf numFmtId="0" fontId="9" fillId="0" borderId="12" xfId="0" applyFont="1" applyBorder="1"/>
    <xf numFmtId="0" fontId="0" fillId="0" borderId="9" xfId="0" applyBorder="1" applyAlignment="1">
      <alignment horizontal="right"/>
    </xf>
    <xf numFmtId="2" fontId="0" fillId="0" borderId="10" xfId="0" applyNumberFormat="1" applyBorder="1"/>
    <xf numFmtId="0" fontId="0" fillId="0" borderId="10" xfId="0" applyBorder="1"/>
    <xf numFmtId="0" fontId="0" fillId="0" borderId="11" xfId="0" applyBorder="1"/>
    <xf numFmtId="0" fontId="0" fillId="0" borderId="39" xfId="0" applyBorder="1"/>
    <xf numFmtId="0" fontId="3" fillId="0" borderId="11" xfId="0" applyFont="1" applyBorder="1"/>
    <xf numFmtId="0" fontId="0" fillId="0" borderId="7" xfId="0" applyBorder="1"/>
    <xf numFmtId="0" fontId="0" fillId="0" borderId="0" xfId="0" applyAlignment="1">
      <alignment horizontal="center"/>
    </xf>
    <xf numFmtId="0" fontId="0" fillId="0" borderId="4" xfId="0" applyBorder="1"/>
    <xf numFmtId="0" fontId="0" fillId="0" borderId="13" xfId="0" applyBorder="1" applyAlignment="1">
      <alignment horizontal="right"/>
    </xf>
    <xf numFmtId="2" fontId="0" fillId="0" borderId="12" xfId="0" applyNumberFormat="1" applyBorder="1"/>
    <xf numFmtId="0" fontId="0" fillId="0" borderId="15" xfId="0" applyBorder="1"/>
    <xf numFmtId="0" fontId="3" fillId="0" borderId="40" xfId="0" applyFont="1" applyBorder="1"/>
    <xf numFmtId="2" fontId="0" fillId="0" borderId="0" xfId="0" applyNumberFormat="1"/>
    <xf numFmtId="0" fontId="0" fillId="0" borderId="26" xfId="0" applyBorder="1"/>
    <xf numFmtId="0" fontId="0" fillId="0" borderId="27" xfId="0" applyBorder="1"/>
    <xf numFmtId="0" fontId="0" fillId="0" borderId="27" xfId="0" applyBorder="1" applyAlignment="1">
      <alignment horizontal="center" wrapText="1"/>
    </xf>
    <xf numFmtId="0" fontId="0" fillId="0" borderId="28" xfId="0" applyBorder="1"/>
    <xf numFmtId="0" fontId="0" fillId="0" borderId="41" xfId="0" applyBorder="1" applyAlignment="1">
      <alignment horizontal="left"/>
    </xf>
    <xf numFmtId="0" fontId="0" fillId="0" borderId="30" xfId="0" applyBorder="1" applyAlignment="1">
      <alignment horizontal="left"/>
    </xf>
    <xf numFmtId="2" fontId="0" fillId="0" borderId="30" xfId="0" applyNumberFormat="1" applyBorder="1"/>
    <xf numFmtId="0" fontId="3" fillId="0" borderId="42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42" xfId="0" applyFont="1" applyBorder="1"/>
    <xf numFmtId="0" fontId="0" fillId="0" borderId="43" xfId="0" applyBorder="1"/>
    <xf numFmtId="0" fontId="0" fillId="0" borderId="44" xfId="0" applyBorder="1"/>
    <xf numFmtId="0" fontId="0" fillId="0" borderId="17" xfId="0" applyBorder="1"/>
    <xf numFmtId="0" fontId="0" fillId="0" borderId="13" xfId="0" applyBorder="1" applyAlignment="1">
      <alignment horizontal="left"/>
    </xf>
    <xf numFmtId="0" fontId="0" fillId="0" borderId="12" xfId="0" applyBorder="1" applyAlignment="1">
      <alignment horizontal="left"/>
    </xf>
    <xf numFmtId="0" fontId="3" fillId="0" borderId="16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16" xfId="0" applyFont="1" applyBorder="1"/>
    <xf numFmtId="0" fontId="0" fillId="0" borderId="45" xfId="0" applyBorder="1"/>
    <xf numFmtId="0" fontId="0" fillId="0" borderId="46" xfId="0" applyBorder="1"/>
    <xf numFmtId="49" fontId="0" fillId="0" borderId="0" xfId="0" applyNumberFormat="1" applyAlignment="1">
      <alignment horizontal="left" wrapText="1"/>
    </xf>
    <xf numFmtId="2" fontId="11" fillId="0" borderId="5" xfId="0" applyNumberFormat="1" applyFont="1" applyBorder="1"/>
    <xf numFmtId="0" fontId="0" fillId="0" borderId="47" xfId="0" applyBorder="1" applyAlignment="1">
      <alignment horizontal="left"/>
    </xf>
    <xf numFmtId="0" fontId="0" fillId="0" borderId="48" xfId="0" applyBorder="1" applyAlignment="1">
      <alignment horizontal="left"/>
    </xf>
    <xf numFmtId="2" fontId="0" fillId="0" borderId="48" xfId="0" applyNumberFormat="1" applyBorder="1"/>
    <xf numFmtId="0" fontId="0" fillId="0" borderId="48" xfId="0" applyBorder="1"/>
    <xf numFmtId="0" fontId="3" fillId="0" borderId="49" xfId="0" applyFont="1" applyBorder="1" applyAlignment="1">
      <alignment horizontal="center"/>
    </xf>
    <xf numFmtId="0" fontId="3" fillId="0" borderId="50" xfId="0" applyFont="1" applyBorder="1" applyAlignment="1">
      <alignment horizontal="center"/>
    </xf>
    <xf numFmtId="0" fontId="3" fillId="0" borderId="49" xfId="0" applyFont="1" applyBorder="1"/>
    <xf numFmtId="0" fontId="0" fillId="0" borderId="42" xfId="0" applyBorder="1"/>
    <xf numFmtId="0" fontId="0" fillId="0" borderId="29" xfId="0" applyBorder="1"/>
    <xf numFmtId="0" fontId="0" fillId="0" borderId="51" xfId="0" applyBorder="1"/>
    <xf numFmtId="0" fontId="3" fillId="0" borderId="0" xfId="0" applyFont="1" applyAlignment="1">
      <alignment wrapText="1"/>
    </xf>
    <xf numFmtId="0" fontId="0" fillId="0" borderId="47" xfId="0" applyBorder="1"/>
    <xf numFmtId="0" fontId="0" fillId="0" borderId="52" xfId="0" applyBorder="1"/>
    <xf numFmtId="0" fontId="0" fillId="4" borderId="53" xfId="0" applyFill="1" applyBorder="1"/>
    <xf numFmtId="0" fontId="0" fillId="0" borderId="16" xfId="0" applyBorder="1"/>
    <xf numFmtId="0" fontId="0" fillId="4" borderId="5" xfId="0" applyFill="1" applyBorder="1"/>
    <xf numFmtId="0" fontId="0" fillId="0" borderId="8" xfId="0" applyBorder="1"/>
    <xf numFmtId="0" fontId="0" fillId="0" borderId="50" xfId="0" applyBorder="1"/>
    <xf numFmtId="0" fontId="0" fillId="0" borderId="0" xfId="0" applyAlignment="1">
      <alignment horizontal="center" vertical="center"/>
    </xf>
    <xf numFmtId="0" fontId="0" fillId="0" borderId="44" xfId="0" applyBorder="1" applyAlignment="1">
      <alignment horizontal="center" vertical="center"/>
    </xf>
    <xf numFmtId="2" fontId="0" fillId="6" borderId="7" xfId="0" applyNumberFormat="1" applyFill="1" applyBorder="1"/>
    <xf numFmtId="2" fontId="0" fillId="0" borderId="54" xfId="0" applyNumberFormat="1" applyBorder="1"/>
    <xf numFmtId="2" fontId="0" fillId="3" borderId="53" xfId="0" applyNumberFormat="1" applyFill="1" applyBorder="1"/>
    <xf numFmtId="2" fontId="0" fillId="3" borderId="55" xfId="0" applyNumberFormat="1" applyFill="1" applyBorder="1"/>
    <xf numFmtId="2" fontId="0" fillId="0" borderId="56" xfId="0" applyNumberFormat="1" applyBorder="1"/>
    <xf numFmtId="2" fontId="0" fillId="0" borderId="0" xfId="0" applyNumberFormat="1" applyAlignment="1">
      <alignment horizontal="right"/>
    </xf>
    <xf numFmtId="0" fontId="0" fillId="0" borderId="1" xfId="0" applyBorder="1" applyAlignment="1">
      <alignment horizontal="left"/>
    </xf>
    <xf numFmtId="2" fontId="0" fillId="0" borderId="1" xfId="0" applyNumberFormat="1" applyBorder="1"/>
    <xf numFmtId="2" fontId="0" fillId="6" borderId="1" xfId="0" applyNumberFormat="1" applyFill="1" applyBorder="1"/>
    <xf numFmtId="2" fontId="0" fillId="6" borderId="57" xfId="0" applyNumberFormat="1" applyFill="1" applyBorder="1"/>
    <xf numFmtId="2" fontId="0" fillId="6" borderId="58" xfId="0" applyNumberFormat="1" applyFill="1" applyBorder="1"/>
    <xf numFmtId="2" fontId="0" fillId="0" borderId="2" xfId="0" applyNumberFormat="1" applyBorder="1"/>
    <xf numFmtId="0" fontId="0" fillId="0" borderId="47" xfId="0" applyBorder="1" applyAlignment="1">
      <alignment horizontal="right"/>
    </xf>
    <xf numFmtId="0" fontId="0" fillId="0" borderId="59" xfId="0" applyBorder="1"/>
    <xf numFmtId="0" fontId="3" fillId="0" borderId="60" xfId="0" applyFont="1" applyBorder="1"/>
    <xf numFmtId="164" fontId="0" fillId="0" borderId="5" xfId="0" applyNumberFormat="1" applyBorder="1"/>
    <xf numFmtId="164" fontId="0" fillId="0" borderId="2" xfId="0" applyNumberFormat="1" applyBorder="1"/>
    <xf numFmtId="164" fontId="0" fillId="4" borderId="5" xfId="0" applyNumberFormat="1" applyFill="1" applyBorder="1"/>
    <xf numFmtId="164" fontId="0" fillId="0" borderId="3" xfId="0" applyNumberFormat="1" applyBorder="1"/>
    <xf numFmtId="0" fontId="9" fillId="7" borderId="0" xfId="0" applyFont="1" applyFill="1"/>
    <xf numFmtId="0" fontId="0" fillId="7" borderId="0" xfId="0" applyFill="1"/>
    <xf numFmtId="0" fontId="2" fillId="7" borderId="0" xfId="0" applyFont="1" applyFill="1"/>
    <xf numFmtId="0" fontId="12" fillId="7" borderId="0" xfId="0" applyFont="1" applyFill="1"/>
    <xf numFmtId="0" fontId="0" fillId="7" borderId="0" xfId="0" applyFill="1" applyAlignment="1">
      <alignment horizontal="right"/>
    </xf>
    <xf numFmtId="0" fontId="13" fillId="8" borderId="0" xfId="0" applyFont="1" applyFill="1"/>
    <xf numFmtId="0" fontId="0" fillId="8" borderId="0" xfId="0" applyFill="1"/>
    <xf numFmtId="0" fontId="13" fillId="8" borderId="0" xfId="0" applyFont="1" applyFill="1" applyAlignment="1">
      <alignment wrapText="1"/>
    </xf>
    <xf numFmtId="0" fontId="0" fillId="8" borderId="0" xfId="0" applyFill="1"/>
    <xf numFmtId="0" fontId="13" fillId="8" borderId="12" xfId="0" applyFont="1" applyFill="1" applyBorder="1" applyAlignment="1">
      <alignment wrapText="1"/>
    </xf>
    <xf numFmtId="0" fontId="6" fillId="0" borderId="12" xfId="0" applyFont="1" applyBorder="1"/>
    <xf numFmtId="2" fontId="6" fillId="0" borderId="12" xfId="0" applyNumberFormat="1" applyFont="1" applyBorder="1"/>
    <xf numFmtId="0" fontId="6" fillId="8" borderId="12" xfId="0" applyFont="1" applyFill="1" applyBorder="1"/>
  </cellXfs>
  <cellStyles count="2">
    <cellStyle name="Hyperlink" xfId="1" builtinId="8"/>
    <cellStyle name="Normal" xfId="0" builtinId="0"/>
  </cellStyles>
  <dxfs count="9"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Local%20Council%20Election%202023\LC%20Results%20and%20Stats%20Claire\Result%20Sheets\Electronic%20results%20for%20website\N10000504%20FOYLESIDE_Count_Calculato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 Rules"/>
      <sheetName val="Basic Input"/>
      <sheetName val="Verification of Boxes"/>
      <sheetName val="Overview Stage 1"/>
      <sheetName val="Stage 2"/>
      <sheetName val="Stage 3"/>
      <sheetName val="Stage 4"/>
      <sheetName val="Stage 5"/>
      <sheetName val="Stage 6"/>
      <sheetName val="Stage 7"/>
      <sheetName val="Stage 8"/>
      <sheetName val="Stage 9"/>
      <sheetName val="Stage 10"/>
      <sheetName val="Stage 11"/>
      <sheetName val="Stage 12"/>
      <sheetName val="Stage 13"/>
      <sheetName val="Stage 14"/>
      <sheetName val="Stage 15"/>
      <sheetName val="Stage 16"/>
      <sheetName val="Stage 17"/>
      <sheetName val="Stage 18"/>
      <sheetName val="Count Stats"/>
    </sheetNames>
    <sheetDataSet>
      <sheetData sheetId="0"/>
      <sheetData sheetId="1">
        <row r="2">
          <cell r="C2">
            <v>45064</v>
          </cell>
        </row>
      </sheetData>
      <sheetData sheetId="2">
        <row r="1">
          <cell r="B1" t="str">
            <v>Local Council Elections 2023</v>
          </cell>
        </row>
        <row r="2">
          <cell r="L2">
            <v>13372</v>
          </cell>
        </row>
        <row r="3">
          <cell r="A3" t="str">
            <v>District Electoral Area of</v>
          </cell>
          <cell r="B3" t="str">
            <v xml:space="preserve">Foyleside </v>
          </cell>
          <cell r="G3">
            <v>5</v>
          </cell>
          <cell r="L3">
            <v>7299</v>
          </cell>
        </row>
        <row r="4">
          <cell r="G4">
            <v>1194</v>
          </cell>
        </row>
        <row r="5">
          <cell r="L5">
            <v>54.584205803170804</v>
          </cell>
        </row>
        <row r="10">
          <cell r="J10" t="str">
            <v>Barr, Lilian Seenoi</v>
          </cell>
          <cell r="K10" t="str">
            <v>SDLP</v>
          </cell>
          <cell r="L10">
            <v>960</v>
          </cell>
        </row>
        <row r="11">
          <cell r="J11" t="str">
            <v xml:space="preserve">Cusack, Shauna </v>
          </cell>
          <cell r="K11" t="str">
            <v>SDLP</v>
          </cell>
          <cell r="L11">
            <v>948</v>
          </cell>
        </row>
        <row r="12">
          <cell r="J12" t="str">
            <v>Harkin, Shaun</v>
          </cell>
          <cell r="K12" t="str">
            <v xml:space="preserve">People Before Profit Alliance </v>
          </cell>
          <cell r="L12">
            <v>979</v>
          </cell>
        </row>
        <row r="13">
          <cell r="J13" t="str">
            <v xml:space="preserve">Heaney, Conor </v>
          </cell>
          <cell r="K13" t="str">
            <v xml:space="preserve">Sinn Féin </v>
          </cell>
          <cell r="L13">
            <v>1846</v>
          </cell>
        </row>
        <row r="14">
          <cell r="J14" t="str">
            <v xml:space="preserve">Mac Cearáin, Seán </v>
          </cell>
          <cell r="K14" t="str">
            <v>Aontú for Life, Unity, Economic Justice</v>
          </cell>
          <cell r="L14">
            <v>423</v>
          </cell>
        </row>
        <row r="15">
          <cell r="J15" t="str">
            <v xml:space="preserve">Mc Callion, Stephen </v>
          </cell>
          <cell r="K15" t="str">
            <v>SDLP</v>
          </cell>
          <cell r="L15">
            <v>626</v>
          </cell>
        </row>
        <row r="16">
          <cell r="J16" t="str">
            <v xml:space="preserve">McCloskey, Danny </v>
          </cell>
          <cell r="K16" t="str">
            <v xml:space="preserve">Alliance Party </v>
          </cell>
          <cell r="L16">
            <v>266</v>
          </cell>
        </row>
        <row r="17">
          <cell r="J17" t="str">
            <v xml:space="preserve">Uí Niallais, Grace </v>
          </cell>
          <cell r="K17" t="str">
            <v xml:space="preserve">Sinn Féin </v>
          </cell>
          <cell r="L17">
            <v>1115</v>
          </cell>
        </row>
        <row r="18">
          <cell r="J18">
            <v>0</v>
          </cell>
          <cell r="K18">
            <v>0</v>
          </cell>
        </row>
        <row r="19">
          <cell r="J19">
            <v>0</v>
          </cell>
          <cell r="K19">
            <v>0</v>
          </cell>
        </row>
        <row r="20">
          <cell r="J20">
            <v>0</v>
          </cell>
          <cell r="K20">
            <v>0</v>
          </cell>
        </row>
        <row r="21">
          <cell r="J21">
            <v>0</v>
          </cell>
          <cell r="K21">
            <v>0</v>
          </cell>
        </row>
        <row r="22">
          <cell r="J22">
            <v>0</v>
          </cell>
          <cell r="K22">
            <v>0</v>
          </cell>
        </row>
        <row r="23">
          <cell r="J23">
            <v>0</v>
          </cell>
          <cell r="K23">
            <v>0</v>
          </cell>
        </row>
        <row r="24">
          <cell r="J24">
            <v>0</v>
          </cell>
          <cell r="K24">
            <v>0</v>
          </cell>
        </row>
        <row r="25">
          <cell r="J25">
            <v>0</v>
          </cell>
          <cell r="K25">
            <v>0</v>
          </cell>
        </row>
        <row r="26">
          <cell r="J26">
            <v>0</v>
          </cell>
          <cell r="K26">
            <v>0</v>
          </cell>
        </row>
        <row r="27">
          <cell r="J27">
            <v>0</v>
          </cell>
          <cell r="K27">
            <v>0</v>
          </cell>
        </row>
        <row r="28">
          <cell r="J28">
            <v>0</v>
          </cell>
          <cell r="K28">
            <v>0</v>
          </cell>
        </row>
        <row r="29">
          <cell r="J29">
            <v>0</v>
          </cell>
          <cell r="K29">
            <v>0</v>
          </cell>
        </row>
        <row r="33">
          <cell r="L33">
            <v>136</v>
          </cell>
        </row>
      </sheetData>
      <sheetData sheetId="3"/>
      <sheetData sheetId="4">
        <row r="7">
          <cell r="F7" t="str">
            <v>Transfer</v>
          </cell>
        </row>
        <row r="8">
          <cell r="F8" t="str">
            <v xml:space="preserve">Heaney, Conor </v>
          </cell>
        </row>
        <row r="11">
          <cell r="F11">
            <v>28</v>
          </cell>
          <cell r="G11">
            <v>988</v>
          </cell>
        </row>
        <row r="12">
          <cell r="F12">
            <v>36.75</v>
          </cell>
          <cell r="G12">
            <v>984.75</v>
          </cell>
        </row>
        <row r="13">
          <cell r="F13">
            <v>20.65</v>
          </cell>
          <cell r="G13">
            <v>999.65</v>
          </cell>
        </row>
        <row r="14">
          <cell r="F14">
            <v>-652</v>
          </cell>
          <cell r="G14">
            <v>1194</v>
          </cell>
        </row>
        <row r="15">
          <cell r="F15">
            <v>11.549999999999999</v>
          </cell>
          <cell r="G15">
            <v>434.55</v>
          </cell>
        </row>
        <row r="16">
          <cell r="F16">
            <v>12.6</v>
          </cell>
          <cell r="G16">
            <v>638.6</v>
          </cell>
        </row>
        <row r="17">
          <cell r="F17">
            <v>9.4499999999999993</v>
          </cell>
          <cell r="G17">
            <v>275.45</v>
          </cell>
        </row>
        <row r="18">
          <cell r="F18">
            <v>520.79999999999995</v>
          </cell>
          <cell r="G18">
            <v>1635.8</v>
          </cell>
        </row>
        <row r="19">
          <cell r="F19">
            <v>0</v>
          </cell>
          <cell r="G19">
            <v>0</v>
          </cell>
        </row>
        <row r="20">
          <cell r="F20">
            <v>0</v>
          </cell>
          <cell r="G20">
            <v>0</v>
          </cell>
        </row>
        <row r="21">
          <cell r="F21">
            <v>0</v>
          </cell>
          <cell r="G21">
            <v>0</v>
          </cell>
        </row>
        <row r="22">
          <cell r="F22">
            <v>0</v>
          </cell>
          <cell r="G22">
            <v>0</v>
          </cell>
        </row>
        <row r="23">
          <cell r="F23">
            <v>0</v>
          </cell>
          <cell r="G23">
            <v>0</v>
          </cell>
        </row>
        <row r="24">
          <cell r="F24">
            <v>0</v>
          </cell>
          <cell r="G24">
            <v>0</v>
          </cell>
        </row>
        <row r="25">
          <cell r="F25">
            <v>0</v>
          </cell>
          <cell r="G25">
            <v>0</v>
          </cell>
        </row>
        <row r="26">
          <cell r="F26">
            <v>0</v>
          </cell>
          <cell r="G26">
            <v>0</v>
          </cell>
        </row>
        <row r="27">
          <cell r="F27">
            <v>0</v>
          </cell>
          <cell r="G27">
            <v>0</v>
          </cell>
        </row>
        <row r="28">
          <cell r="F28">
            <v>0</v>
          </cell>
          <cell r="G28">
            <v>0</v>
          </cell>
        </row>
        <row r="29">
          <cell r="F29">
            <v>0</v>
          </cell>
          <cell r="G29">
            <v>0</v>
          </cell>
        </row>
        <row r="30">
          <cell r="F30">
            <v>0</v>
          </cell>
          <cell r="G30">
            <v>0</v>
          </cell>
        </row>
        <row r="31">
          <cell r="F31">
            <v>12.200000000000045</v>
          </cell>
          <cell r="G31">
            <v>12.200000000000045</v>
          </cell>
        </row>
        <row r="32">
          <cell r="G32">
            <v>7163</v>
          </cell>
        </row>
        <row r="34">
          <cell r="E34" t="str">
            <v xml:space="preserve"> </v>
          </cell>
          <cell r="G34">
            <v>0.47222222222222227</v>
          </cell>
        </row>
      </sheetData>
      <sheetData sheetId="5">
        <row r="7">
          <cell r="H7" t="str">
            <v>Transfer</v>
          </cell>
        </row>
        <row r="8">
          <cell r="H8" t="str">
            <v xml:space="preserve">Uí Niallais, Grace </v>
          </cell>
        </row>
        <row r="11">
          <cell r="H11">
            <v>85.399999999999991</v>
          </cell>
          <cell r="I11">
            <v>1073.4000000000001</v>
          </cell>
        </row>
        <row r="12">
          <cell r="H12">
            <v>87.5</v>
          </cell>
          <cell r="I12">
            <v>1072.25</v>
          </cell>
        </row>
        <row r="13">
          <cell r="H13">
            <v>75.25</v>
          </cell>
          <cell r="I13">
            <v>1074.9000000000001</v>
          </cell>
        </row>
        <row r="14">
          <cell r="H14">
            <v>0</v>
          </cell>
          <cell r="I14">
            <v>1194</v>
          </cell>
        </row>
        <row r="15">
          <cell r="H15">
            <v>38.15</v>
          </cell>
          <cell r="I15">
            <v>472.7</v>
          </cell>
        </row>
        <row r="16">
          <cell r="H16">
            <v>33.949999999999996</v>
          </cell>
          <cell r="I16">
            <v>672.55000000000007</v>
          </cell>
        </row>
        <row r="17">
          <cell r="H17">
            <v>31.849999999999998</v>
          </cell>
          <cell r="I17">
            <v>307.3</v>
          </cell>
        </row>
        <row r="18">
          <cell r="H18">
            <v>-441.79999999999995</v>
          </cell>
          <cell r="I18">
            <v>1194</v>
          </cell>
        </row>
        <row r="19">
          <cell r="H19">
            <v>0</v>
          </cell>
          <cell r="I19">
            <v>0</v>
          </cell>
        </row>
        <row r="20">
          <cell r="H20">
            <v>0</v>
          </cell>
          <cell r="I20">
            <v>0</v>
          </cell>
        </row>
        <row r="21">
          <cell r="H21">
            <v>0</v>
          </cell>
          <cell r="I21">
            <v>0</v>
          </cell>
        </row>
        <row r="22">
          <cell r="H22">
            <v>0</v>
          </cell>
          <cell r="I22">
            <v>0</v>
          </cell>
        </row>
        <row r="23">
          <cell r="H23">
            <v>0</v>
          </cell>
          <cell r="I23">
            <v>0</v>
          </cell>
        </row>
        <row r="24">
          <cell r="H24">
            <v>0</v>
          </cell>
          <cell r="I24">
            <v>0</v>
          </cell>
        </row>
        <row r="25">
          <cell r="H25">
            <v>0</v>
          </cell>
          <cell r="I25">
            <v>0</v>
          </cell>
        </row>
        <row r="26">
          <cell r="H26">
            <v>0</v>
          </cell>
          <cell r="I26">
            <v>0</v>
          </cell>
        </row>
        <row r="27">
          <cell r="H27">
            <v>0</v>
          </cell>
          <cell r="I27">
            <v>0</v>
          </cell>
        </row>
        <row r="28">
          <cell r="H28">
            <v>0</v>
          </cell>
          <cell r="I28">
            <v>0</v>
          </cell>
        </row>
        <row r="29">
          <cell r="H29">
            <v>0</v>
          </cell>
          <cell r="I29">
            <v>0</v>
          </cell>
        </row>
        <row r="30">
          <cell r="H30">
            <v>0</v>
          </cell>
          <cell r="I30">
            <v>0</v>
          </cell>
        </row>
        <row r="31">
          <cell r="H31">
            <v>89.699999999999989</v>
          </cell>
          <cell r="I31">
            <v>101.90000000000003</v>
          </cell>
        </row>
        <row r="32">
          <cell r="I32">
            <v>7163</v>
          </cell>
        </row>
        <row r="34">
          <cell r="I34">
            <v>0.51388888888888895</v>
          </cell>
        </row>
      </sheetData>
      <sheetData sheetId="6">
        <row r="7">
          <cell r="J7" t="str">
            <v>Exclude</v>
          </cell>
        </row>
        <row r="8">
          <cell r="J8" t="str">
            <v>Danny McCloskey</v>
          </cell>
        </row>
        <row r="11">
          <cell r="B11">
            <v>0</v>
          </cell>
          <cell r="J11">
            <v>56.9</v>
          </cell>
          <cell r="K11">
            <v>1130.3000000000002</v>
          </cell>
        </row>
        <row r="12">
          <cell r="A12">
            <v>0</v>
          </cell>
          <cell r="B12">
            <v>0</v>
          </cell>
          <cell r="J12">
            <v>59.1</v>
          </cell>
          <cell r="K12">
            <v>1131.3499999999999</v>
          </cell>
        </row>
        <row r="13">
          <cell r="A13">
            <v>0</v>
          </cell>
          <cell r="B13">
            <v>0</v>
          </cell>
          <cell r="J13">
            <v>65.25</v>
          </cell>
          <cell r="K13">
            <v>1140.1500000000001</v>
          </cell>
        </row>
        <row r="14">
          <cell r="A14" t="str">
            <v>Elected</v>
          </cell>
          <cell r="B14">
            <v>0</v>
          </cell>
          <cell r="J14">
            <v>0</v>
          </cell>
          <cell r="K14">
            <v>1194</v>
          </cell>
        </row>
        <row r="15">
          <cell r="A15">
            <v>0</v>
          </cell>
          <cell r="B15">
            <v>0</v>
          </cell>
          <cell r="J15">
            <v>20.8</v>
          </cell>
          <cell r="K15">
            <v>493.5</v>
          </cell>
        </row>
        <row r="16">
          <cell r="A16">
            <v>0</v>
          </cell>
          <cell r="B16">
            <v>0</v>
          </cell>
          <cell r="J16">
            <v>62.15</v>
          </cell>
          <cell r="K16">
            <v>734.7</v>
          </cell>
        </row>
        <row r="17">
          <cell r="A17" t="str">
            <v>Excluded</v>
          </cell>
          <cell r="B17">
            <v>0</v>
          </cell>
          <cell r="J17">
            <v>-307.3</v>
          </cell>
          <cell r="K17">
            <v>0</v>
          </cell>
        </row>
        <row r="18">
          <cell r="A18" t="str">
            <v>Elected</v>
          </cell>
          <cell r="B18">
            <v>0</v>
          </cell>
          <cell r="J18">
            <v>0</v>
          </cell>
          <cell r="K18">
            <v>1194</v>
          </cell>
        </row>
        <row r="19">
          <cell r="A19">
            <v>0</v>
          </cell>
          <cell r="B19">
            <v>0</v>
          </cell>
          <cell r="J19">
            <v>0</v>
          </cell>
          <cell r="K19">
            <v>0</v>
          </cell>
        </row>
        <row r="20">
          <cell r="A20">
            <v>0</v>
          </cell>
          <cell r="B20">
            <v>0</v>
          </cell>
          <cell r="J20">
            <v>0</v>
          </cell>
          <cell r="K20">
            <v>0</v>
          </cell>
        </row>
        <row r="21">
          <cell r="A21">
            <v>0</v>
          </cell>
          <cell r="B21">
            <v>0</v>
          </cell>
          <cell r="J21">
            <v>0</v>
          </cell>
          <cell r="K21">
            <v>0</v>
          </cell>
        </row>
        <row r="22">
          <cell r="A22">
            <v>0</v>
          </cell>
          <cell r="B22">
            <v>0</v>
          </cell>
          <cell r="J22">
            <v>0</v>
          </cell>
          <cell r="K22">
            <v>0</v>
          </cell>
        </row>
        <row r="23">
          <cell r="A23">
            <v>0</v>
          </cell>
          <cell r="B23">
            <v>0</v>
          </cell>
          <cell r="J23">
            <v>0</v>
          </cell>
          <cell r="K23">
            <v>0</v>
          </cell>
        </row>
        <row r="24">
          <cell r="A24">
            <v>0</v>
          </cell>
          <cell r="B24">
            <v>0</v>
          </cell>
          <cell r="J24">
            <v>0</v>
          </cell>
          <cell r="K24">
            <v>0</v>
          </cell>
        </row>
        <row r="25">
          <cell r="A25">
            <v>0</v>
          </cell>
          <cell r="B25">
            <v>0</v>
          </cell>
          <cell r="J25">
            <v>0</v>
          </cell>
          <cell r="K25">
            <v>0</v>
          </cell>
        </row>
        <row r="26">
          <cell r="A26">
            <v>0</v>
          </cell>
          <cell r="B26">
            <v>0</v>
          </cell>
          <cell r="J26">
            <v>0</v>
          </cell>
          <cell r="K26">
            <v>0</v>
          </cell>
        </row>
        <row r="27">
          <cell r="A27">
            <v>0</v>
          </cell>
          <cell r="B27">
            <v>0</v>
          </cell>
          <cell r="J27">
            <v>0</v>
          </cell>
          <cell r="K27">
            <v>0</v>
          </cell>
        </row>
        <row r="28">
          <cell r="A28">
            <v>0</v>
          </cell>
          <cell r="B28">
            <v>0</v>
          </cell>
          <cell r="J28">
            <v>0</v>
          </cell>
          <cell r="K28">
            <v>0</v>
          </cell>
        </row>
        <row r="29">
          <cell r="A29">
            <v>0</v>
          </cell>
          <cell r="B29">
            <v>0</v>
          </cell>
          <cell r="J29">
            <v>0</v>
          </cell>
          <cell r="K29">
            <v>0</v>
          </cell>
        </row>
        <row r="30">
          <cell r="A30">
            <v>0</v>
          </cell>
          <cell r="B30">
            <v>0</v>
          </cell>
          <cell r="J30">
            <v>0</v>
          </cell>
          <cell r="K30">
            <v>0</v>
          </cell>
        </row>
        <row r="31">
          <cell r="J31">
            <v>43.099999999999994</v>
          </cell>
          <cell r="K31">
            <v>145.00000000000003</v>
          </cell>
        </row>
        <row r="34">
          <cell r="K34">
            <v>0.56944444444444442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232"/>
  <sheetViews>
    <sheetView showGridLines="0" showZeros="0" tabSelected="1" zoomScale="75" workbookViewId="0">
      <selection activeCell="A12" sqref="A12"/>
    </sheetView>
  </sheetViews>
  <sheetFormatPr defaultRowHeight="12.75" x14ac:dyDescent="0.2"/>
  <cols>
    <col min="1" max="1" width="8.42578125" customWidth="1"/>
    <col min="2" max="2" width="4.42578125" customWidth="1"/>
    <col min="3" max="3" width="18.7109375" customWidth="1"/>
    <col min="4" max="4" width="18.42578125" customWidth="1"/>
    <col min="5" max="5" width="13.28515625" customWidth="1"/>
    <col min="6" max="23" width="9.7109375" customWidth="1"/>
    <col min="24" max="24" width="224.140625" customWidth="1"/>
    <col min="25" max="25" width="4.42578125" customWidth="1"/>
    <col min="26" max="26" width="14.42578125" customWidth="1"/>
    <col min="27" max="27" width="11.7109375" customWidth="1"/>
    <col min="28" max="28" width="2" customWidth="1"/>
    <col min="29" max="29" width="8.42578125" customWidth="1"/>
    <col min="30" max="30" width="2" customWidth="1"/>
    <col min="31" max="31" width="13.28515625" customWidth="1"/>
    <col min="32" max="32" width="8.42578125" customWidth="1"/>
    <col min="33" max="33" width="19.85546875" customWidth="1"/>
    <col min="34" max="34" width="2.42578125" customWidth="1"/>
    <col min="35" max="35" width="3.28515625" customWidth="1"/>
    <col min="38" max="38" width="10.7109375" customWidth="1"/>
    <col min="39" max="39" width="10.140625" customWidth="1"/>
    <col min="40" max="40" width="10.7109375" customWidth="1"/>
    <col min="41" max="41" width="11" customWidth="1"/>
    <col min="42" max="42" width="8.42578125" customWidth="1"/>
    <col min="43" max="43" width="11.28515625" customWidth="1"/>
    <col min="44" max="44" width="16.42578125" customWidth="1"/>
    <col min="45" max="45" width="215.85546875" customWidth="1"/>
    <col min="46" max="46" width="9.28515625" bestFit="1" customWidth="1"/>
    <col min="47" max="47" width="13" bestFit="1" customWidth="1"/>
    <col min="48" max="48" width="9.28515625" bestFit="1" customWidth="1"/>
    <col min="49" max="49" width="13" bestFit="1" customWidth="1"/>
    <col min="50" max="50" width="218" customWidth="1"/>
    <col min="51" max="51" width="5" customWidth="1"/>
    <col min="52" max="52" width="49.85546875" customWidth="1"/>
    <col min="53" max="53" width="14.28515625" customWidth="1"/>
    <col min="54" max="54" width="3.28515625" customWidth="1"/>
    <col min="55" max="55" width="9.28515625" bestFit="1" customWidth="1"/>
    <col min="56" max="56" width="4" customWidth="1"/>
    <col min="57" max="57" width="23" customWidth="1"/>
    <col min="58" max="58" width="12" customWidth="1"/>
    <col min="59" max="59" width="14.85546875" customWidth="1"/>
    <col min="61" max="61" width="11" customWidth="1"/>
    <col min="62" max="62" width="11.42578125" customWidth="1"/>
    <col min="63" max="63" width="10.85546875" customWidth="1"/>
    <col min="64" max="64" width="219.28515625" customWidth="1"/>
    <col min="67" max="67" width="10.85546875" customWidth="1"/>
    <col min="68" max="68" width="7.42578125" customWidth="1"/>
    <col min="69" max="69" width="1.7109375" customWidth="1"/>
    <col min="70" max="70" width="24.85546875" customWidth="1"/>
    <col min="83" max="83" width="19.28515625" customWidth="1"/>
    <col min="105" max="105" width="12.5703125" customWidth="1"/>
    <col min="106" max="106" width="33.140625" customWidth="1"/>
    <col min="107" max="107" width="34" customWidth="1"/>
    <col min="108" max="108" width="16" customWidth="1"/>
    <col min="109" max="109" width="15" customWidth="1"/>
    <col min="110" max="110" width="15.85546875" customWidth="1"/>
  </cols>
  <sheetData>
    <row r="1" spans="1:105" ht="21" thickBot="1" x14ac:dyDescent="0.35">
      <c r="A1" s="1" t="str">
        <f>'[1]Verification of Boxes'!B1</f>
        <v>Local Council Elections 2023</v>
      </c>
      <c r="F1" s="2" t="s">
        <v>0</v>
      </c>
      <c r="J1" s="3" t="s">
        <v>1</v>
      </c>
      <c r="K1" s="4">
        <f>'[1]Basic Input'!C2</f>
        <v>45064</v>
      </c>
      <c r="L1" s="4"/>
      <c r="Z1" s="2" t="s">
        <v>2</v>
      </c>
      <c r="AQ1" s="5"/>
      <c r="AZ1" s="2" t="s">
        <v>3</v>
      </c>
      <c r="BE1" s="6" t="str">
        <f>IF(AT5="T","COMPLETE THIS FORM","YOU HAVE NOT SELECTED TO COMPLETE THIS FORM")</f>
        <v>YOU HAVE NOT SELECTED TO COMPLETE THIS FORM</v>
      </c>
      <c r="BR1" s="2" t="s">
        <v>4</v>
      </c>
      <c r="BY1" s="6" t="str">
        <f>IF(AT5="E","COMPLETE THIS FORM","YOU HAVE NOT SELECTED TO COMPLETE THIS FORM")</f>
        <v>COMPLETE THIS FORM</v>
      </c>
      <c r="DA1">
        <v>1</v>
      </c>
    </row>
    <row r="2" spans="1:105" ht="18.75" thickBot="1" x14ac:dyDescent="0.3">
      <c r="A2" s="2" t="str">
        <f>'[1]Verification of Boxes'!A3</f>
        <v>District Electoral Area of</v>
      </c>
      <c r="D2" s="2" t="str">
        <f>'[1]Verification of Boxes'!B3</f>
        <v xml:space="preserve">Foyleside </v>
      </c>
      <c r="O2" s="7" t="s">
        <v>5</v>
      </c>
      <c r="P2" s="8"/>
      <c r="Q2" s="8"/>
      <c r="R2" s="8"/>
      <c r="S2" s="9"/>
      <c r="Z2" s="10" t="s">
        <v>6</v>
      </c>
      <c r="AA2" s="10"/>
      <c r="AB2" s="10"/>
      <c r="AC2" s="10"/>
      <c r="AD2" s="10"/>
      <c r="AE2" s="10"/>
      <c r="AF2" s="11"/>
      <c r="AG2" s="12">
        <f>SUM(AF14:AF33)</f>
        <v>0</v>
      </c>
      <c r="AZ2" s="2" t="str">
        <f>'[1]Verification of Boxes'!B1</f>
        <v>Local Council Elections 2023</v>
      </c>
      <c r="BE2" t="s">
        <v>1</v>
      </c>
      <c r="BF2" s="13">
        <f>'[1]Basic Input'!C2</f>
        <v>45064</v>
      </c>
      <c r="BG2" s="14" t="s">
        <v>7</v>
      </c>
      <c r="BR2" s="15" t="s">
        <v>0</v>
      </c>
      <c r="CB2" s="7" t="s">
        <v>8</v>
      </c>
      <c r="CC2" s="8"/>
      <c r="CD2" s="8"/>
      <c r="CE2" s="9"/>
    </row>
    <row r="3" spans="1:105" ht="24" customHeight="1" thickBot="1" x14ac:dyDescent="0.3">
      <c r="C3" s="14" t="s">
        <v>9</v>
      </c>
      <c r="D3" s="16">
        <f>'[1]Verification of Boxes'!L2</f>
        <v>13372</v>
      </c>
      <c r="E3" s="17" t="s">
        <v>10</v>
      </c>
      <c r="F3" s="18"/>
      <c r="G3" s="19">
        <f>'[1]Verification of Boxes'!G3</f>
        <v>5</v>
      </c>
      <c r="H3" s="17" t="s">
        <v>11</v>
      </c>
      <c r="I3" s="18"/>
      <c r="J3" s="19">
        <f>'[1]Verification of Boxes'!L33</f>
        <v>136</v>
      </c>
      <c r="L3" s="14" t="s">
        <v>12</v>
      </c>
      <c r="M3" s="19">
        <f>'[1]Verification of Boxes'!G4</f>
        <v>1194</v>
      </c>
      <c r="O3" s="20"/>
      <c r="P3" s="20"/>
      <c r="Q3" s="20"/>
      <c r="R3" s="20"/>
      <c r="S3" s="20"/>
      <c r="Z3" s="10" t="s">
        <v>13</v>
      </c>
      <c r="AA3" s="10"/>
      <c r="AB3" s="10"/>
      <c r="AC3" s="10"/>
      <c r="AD3" s="10"/>
      <c r="AE3" s="10"/>
      <c r="AF3" s="11"/>
      <c r="AG3" s="21">
        <f>LARGE(AF14:AF33,1)</f>
        <v>0</v>
      </c>
      <c r="AJ3" s="22"/>
      <c r="AK3" s="22"/>
      <c r="AL3" s="23" t="str">
        <f>IF(AQ5="n","MOVE TO EXCLUDE CANDIDATE FORM",IF(AQ5="y","MOVE TO TRANSFER OF SURPLUS VOTES FORM",0))</f>
        <v>MOVE TO EXCLUDE CANDIDATE FORM</v>
      </c>
      <c r="AM3" s="24"/>
      <c r="AN3" s="24"/>
      <c r="AO3" s="24"/>
      <c r="AP3" s="24"/>
      <c r="AQ3" s="25"/>
      <c r="AZ3" s="2" t="str">
        <f>'[1]Verification of Boxes'!A3</f>
        <v>District Electoral Area of</v>
      </c>
      <c r="BI3" s="7" t="s">
        <v>8</v>
      </c>
      <c r="BJ3" s="8"/>
      <c r="BK3" s="9"/>
      <c r="BR3" s="26" t="s">
        <v>14</v>
      </c>
      <c r="BS3" s="27"/>
      <c r="BT3" s="28" t="s">
        <v>15</v>
      </c>
      <c r="BU3" s="29"/>
      <c r="BV3" s="29"/>
      <c r="BW3" s="29"/>
      <c r="BX3" s="29"/>
      <c r="BY3" s="29"/>
      <c r="BZ3" s="30"/>
    </row>
    <row r="4" spans="1:105" ht="30.75" customHeight="1" thickBot="1" x14ac:dyDescent="0.3">
      <c r="A4" s="2"/>
      <c r="C4" s="14" t="s">
        <v>16</v>
      </c>
      <c r="D4" s="19">
        <f>'[1]Verification of Boxes'!L3</f>
        <v>7299</v>
      </c>
      <c r="E4" s="31" t="s">
        <v>17</v>
      </c>
      <c r="F4" s="18"/>
      <c r="G4" s="32">
        <f>D4-J3</f>
        <v>7163</v>
      </c>
      <c r="H4" s="17" t="s">
        <v>18</v>
      </c>
      <c r="I4" s="18"/>
      <c r="J4" s="33">
        <f>'[1]Verification of Boxes'!L5</f>
        <v>54.584205803170804</v>
      </c>
      <c r="O4" s="7" t="s">
        <v>19</v>
      </c>
      <c r="P4" s="8"/>
      <c r="Q4" s="8"/>
      <c r="R4" s="8"/>
      <c r="S4" s="9"/>
      <c r="U4" s="34" t="str">
        <f>IF(M33="ERROR","DO NOT MOVE TO NEXT STAGE","OK TO MOVE TO NEXT STAGE")</f>
        <v>DO NOT MOVE TO NEXT STAGE</v>
      </c>
      <c r="V4" s="34"/>
      <c r="W4" s="34"/>
      <c r="Z4" s="10" t="s">
        <v>20</v>
      </c>
      <c r="AA4" s="10"/>
      <c r="AB4" s="10"/>
      <c r="AC4" s="10"/>
      <c r="AD4" s="10"/>
      <c r="AE4" s="10"/>
      <c r="AF4" s="11"/>
      <c r="AG4" s="35">
        <f>'[1]Verification of Boxes'!G4</f>
        <v>1194</v>
      </c>
      <c r="AZ4" s="36" t="str">
        <f>'[1]Verification of Boxes'!B3</f>
        <v xml:space="preserve">Foyleside </v>
      </c>
      <c r="BE4" s="37" t="s">
        <v>21</v>
      </c>
      <c r="BF4" s="38" t="s">
        <v>22</v>
      </c>
      <c r="BG4" s="39" t="s">
        <v>23</v>
      </c>
      <c r="BH4" s="40" t="s">
        <v>24</v>
      </c>
      <c r="BI4" s="41" t="s">
        <v>25</v>
      </c>
      <c r="BJ4" s="41" t="s">
        <v>26</v>
      </c>
      <c r="BR4" t="s">
        <v>27</v>
      </c>
    </row>
    <row r="5" spans="1:105" ht="24" customHeight="1" thickBot="1" x14ac:dyDescent="0.3">
      <c r="A5" s="2"/>
      <c r="O5" s="42"/>
      <c r="P5" s="42"/>
      <c r="Q5" s="42"/>
      <c r="R5" s="43"/>
      <c r="T5" s="44"/>
      <c r="AJ5" s="45" t="s">
        <v>28</v>
      </c>
      <c r="AK5" s="46"/>
      <c r="AL5" s="45" t="s">
        <v>29</v>
      </c>
      <c r="AM5" s="45"/>
      <c r="AN5" s="45"/>
      <c r="AO5" s="46"/>
      <c r="AP5" s="47"/>
      <c r="AQ5" s="48" t="s">
        <v>30</v>
      </c>
      <c r="AT5" s="49" t="str">
        <f>IF(AQ5=0,0,IF(AQ5="Y","T","E"))</f>
        <v>E</v>
      </c>
      <c r="BE5" s="50" t="str">
        <f>'[1]Verification of Boxes'!J10</f>
        <v>Barr, Lilian Seenoi</v>
      </c>
      <c r="BF5" s="51"/>
      <c r="BG5" s="52">
        <f t="shared" ref="BG5:BG24" si="0">IF(BC$23&gt;0,BF5*BC$23,BF5*BC$29)</f>
        <v>0</v>
      </c>
      <c r="BH5" s="53"/>
      <c r="BI5" s="54" t="str">
        <f>IF(A11&lt;&gt;0,A11,0)</f>
        <v>Elected</v>
      </c>
      <c r="BJ5" s="54">
        <f>IF(C11=0,0,IF(K11=0,"Excluded",0))</f>
        <v>0</v>
      </c>
      <c r="BP5" s="55" t="s">
        <v>31</v>
      </c>
      <c r="BR5" s="54"/>
      <c r="BS5" s="56" t="s">
        <v>32</v>
      </c>
      <c r="BT5" s="57"/>
      <c r="BU5" s="56" t="s">
        <v>33</v>
      </c>
      <c r="BV5" s="57"/>
      <c r="BW5" s="56" t="s">
        <v>34</v>
      </c>
      <c r="BX5" s="58"/>
      <c r="BY5" s="56" t="s">
        <v>34</v>
      </c>
      <c r="BZ5" s="58"/>
      <c r="CA5" s="56" t="s">
        <v>34</v>
      </c>
      <c r="CB5" s="58"/>
      <c r="CC5" s="56" t="s">
        <v>34</v>
      </c>
      <c r="CD5" s="58"/>
      <c r="CE5" s="59" t="s">
        <v>35</v>
      </c>
    </row>
    <row r="6" spans="1:105" ht="15" customHeight="1" thickBot="1" x14ac:dyDescent="0.3">
      <c r="A6" s="2"/>
      <c r="E6" s="60" t="s">
        <v>36</v>
      </c>
      <c r="F6" s="61" t="s">
        <v>37</v>
      </c>
      <c r="G6" s="62"/>
      <c r="H6" s="61" t="s">
        <v>38</v>
      </c>
      <c r="I6" s="62"/>
      <c r="J6" s="61" t="s">
        <v>39</v>
      </c>
      <c r="K6" s="62"/>
      <c r="L6" s="61" t="s">
        <v>0</v>
      </c>
      <c r="M6" s="62"/>
      <c r="N6" s="61" t="s">
        <v>40</v>
      </c>
      <c r="O6" s="62"/>
      <c r="P6" s="61" t="s">
        <v>41</v>
      </c>
      <c r="Q6" s="62"/>
      <c r="R6" s="61" t="s">
        <v>42</v>
      </c>
      <c r="S6" s="62"/>
      <c r="T6" s="61" t="s">
        <v>43</v>
      </c>
      <c r="U6" s="62"/>
      <c r="V6" s="61" t="s">
        <v>44</v>
      </c>
      <c r="W6" s="62"/>
      <c r="Z6" s="63" t="s">
        <v>45</v>
      </c>
      <c r="AA6" s="64"/>
      <c r="AB6" s="64"/>
      <c r="AC6" s="64"/>
      <c r="AD6" s="64"/>
      <c r="AE6" s="64"/>
      <c r="AF6" s="65"/>
      <c r="AJ6" t="s">
        <v>46</v>
      </c>
      <c r="AK6" s="66" t="s">
        <v>47</v>
      </c>
      <c r="AL6" s="66"/>
      <c r="AM6" s="66"/>
      <c r="AN6" s="66"/>
      <c r="AO6" s="66"/>
      <c r="AP6" s="66"/>
      <c r="AQ6" s="67" t="str">
        <f>IF(AG2&gt;AM21,"Transfer","Exclude")</f>
        <v>Exclude</v>
      </c>
      <c r="AR6" s="67"/>
      <c r="AS6" s="68"/>
      <c r="AT6" s="41"/>
      <c r="AU6" s="41"/>
      <c r="AW6" s="5"/>
      <c r="AX6" s="5"/>
      <c r="AZ6" s="15" t="s">
        <v>0</v>
      </c>
      <c r="BA6" s="69"/>
      <c r="BE6" s="50" t="str">
        <f>'[1]Verification of Boxes'!J11</f>
        <v xml:space="preserve">Cusack, Shauna </v>
      </c>
      <c r="BF6" s="51"/>
      <c r="BG6" s="52">
        <f t="shared" si="0"/>
        <v>0</v>
      </c>
      <c r="BH6" s="53"/>
      <c r="BI6" s="54" t="str">
        <f t="shared" ref="BI6:BI24" si="1">IF(A12&lt;&gt;0,A12,0)</f>
        <v>Elected</v>
      </c>
      <c r="BJ6" s="54">
        <f t="shared" ref="BJ6:BJ24" si="2">IF(C12=0,0,IF(K12=0,"Excluded",0))</f>
        <v>0</v>
      </c>
      <c r="BP6" s="55"/>
      <c r="BR6" s="54"/>
      <c r="BS6" s="49" t="s">
        <v>48</v>
      </c>
      <c r="BT6" s="70">
        <v>1</v>
      </c>
      <c r="BU6" s="49" t="s">
        <v>48</v>
      </c>
      <c r="BV6" s="70">
        <v>1</v>
      </c>
      <c r="BW6" s="71" t="s">
        <v>48</v>
      </c>
      <c r="BX6" s="72"/>
      <c r="BY6" s="73" t="s">
        <v>48</v>
      </c>
      <c r="BZ6" s="72"/>
      <c r="CA6" s="73" t="s">
        <v>48</v>
      </c>
      <c r="CB6" s="72"/>
      <c r="CC6" s="73" t="s">
        <v>48</v>
      </c>
      <c r="CD6" s="72"/>
      <c r="CE6" s="74">
        <f>BS29+BU29+BW29+BY29+CA29+CC29</f>
        <v>423</v>
      </c>
    </row>
    <row r="7" spans="1:105" ht="15" customHeight="1" thickBot="1" x14ac:dyDescent="0.25">
      <c r="D7" s="43"/>
      <c r="E7" s="75"/>
      <c r="F7" s="76" t="str">
        <f>'[1]Stage 2'!F7:G7</f>
        <v>Transfer</v>
      </c>
      <c r="G7" s="77"/>
      <c r="H7" s="76" t="str">
        <f>'[1]Stage 3'!H7:I7</f>
        <v>Transfer</v>
      </c>
      <c r="I7" s="77"/>
      <c r="J7" s="76" t="str">
        <f>'[1]Stage 4'!J7:K7</f>
        <v>Exclude</v>
      </c>
      <c r="K7" s="77"/>
      <c r="L7" s="76" t="str">
        <f>IF($AT5=0,0,IF($AT5="T",$AZ7,$BR4))</f>
        <v>Exclude</v>
      </c>
      <c r="M7" s="77"/>
      <c r="N7" s="78"/>
      <c r="O7" s="79"/>
      <c r="P7" s="78"/>
      <c r="Q7" s="79"/>
      <c r="R7" s="78"/>
      <c r="S7" s="79"/>
      <c r="T7" s="78"/>
      <c r="U7" s="79"/>
      <c r="V7" s="78"/>
      <c r="W7" s="79"/>
      <c r="Z7" s="80"/>
      <c r="AA7" s="81"/>
      <c r="AB7" s="81"/>
      <c r="AC7" s="81"/>
      <c r="AD7" s="81"/>
      <c r="AE7" s="81"/>
      <c r="AF7" s="82"/>
      <c r="AK7" s="66"/>
      <c r="AL7" s="66"/>
      <c r="AM7" s="66"/>
      <c r="AN7" s="66"/>
      <c r="AO7" s="66"/>
      <c r="AP7" s="66"/>
      <c r="AQ7" s="67"/>
      <c r="AR7" s="67"/>
      <c r="AS7" s="68"/>
      <c r="AZ7" t="s">
        <v>49</v>
      </c>
      <c r="BA7" s="83"/>
      <c r="BE7" s="50" t="str">
        <f>'[1]Verification of Boxes'!J12</f>
        <v>Harkin, Shaun</v>
      </c>
      <c r="BF7" s="51"/>
      <c r="BG7" s="52">
        <f t="shared" si="0"/>
        <v>0</v>
      </c>
      <c r="BH7" s="53"/>
      <c r="BI7" s="54" t="str">
        <f t="shared" si="1"/>
        <v>Elected</v>
      </c>
      <c r="BJ7" s="54">
        <f t="shared" si="2"/>
        <v>0</v>
      </c>
      <c r="BN7" t="s">
        <v>50</v>
      </c>
      <c r="BO7" s="14" t="s">
        <v>51</v>
      </c>
      <c r="BP7" s="84"/>
      <c r="BR7" s="54" t="s">
        <v>52</v>
      </c>
      <c r="BS7" s="54" t="s">
        <v>53</v>
      </c>
      <c r="BT7" s="54" t="s">
        <v>34</v>
      </c>
      <c r="BU7" s="54" t="s">
        <v>53</v>
      </c>
      <c r="BV7" s="54" t="s">
        <v>34</v>
      </c>
      <c r="BW7" s="54" t="s">
        <v>53</v>
      </c>
      <c r="BX7" s="85" t="s">
        <v>34</v>
      </c>
      <c r="BY7" s="54" t="s">
        <v>53</v>
      </c>
      <c r="BZ7" s="85" t="s">
        <v>34</v>
      </c>
      <c r="CA7" s="54" t="s">
        <v>53</v>
      </c>
      <c r="CB7" s="85" t="s">
        <v>34</v>
      </c>
      <c r="CC7" s="54" t="s">
        <v>53</v>
      </c>
      <c r="CD7" s="85" t="s">
        <v>34</v>
      </c>
      <c r="CE7" s="86" t="s">
        <v>54</v>
      </c>
    </row>
    <row r="8" spans="1:105" ht="15" customHeight="1" thickBot="1" x14ac:dyDescent="0.3">
      <c r="D8" s="43"/>
      <c r="E8" s="75"/>
      <c r="F8" s="87" t="str">
        <f>'[1]Stage 2'!F8:G8</f>
        <v xml:space="preserve">Heaney, Conor </v>
      </c>
      <c r="G8" s="88"/>
      <c r="H8" s="89" t="str">
        <f>'[1]Stage 3'!H8:I8</f>
        <v xml:space="preserve">Uí Niallais, Grace </v>
      </c>
      <c r="I8" s="90"/>
      <c r="J8" s="76" t="str">
        <f>'[1]Stage 4'!J8:K8</f>
        <v>Danny McCloskey</v>
      </c>
      <c r="K8" s="77"/>
      <c r="L8" s="89" t="str">
        <f>IF($L7="Transfer",$BA8,$BT3)</f>
        <v>Sean Mac Cearain</v>
      </c>
      <c r="M8" s="90"/>
      <c r="N8" s="91"/>
      <c r="O8" s="92"/>
      <c r="P8" s="91"/>
      <c r="Q8" s="92"/>
      <c r="R8" s="91"/>
      <c r="S8" s="92"/>
      <c r="T8" s="91"/>
      <c r="U8" s="92"/>
      <c r="V8" s="91"/>
      <c r="W8" s="92"/>
      <c r="AA8" s="14"/>
      <c r="AI8" s="2"/>
      <c r="AJ8" s="2"/>
      <c r="AZ8" s="93" t="s">
        <v>55</v>
      </c>
      <c r="BA8" s="12">
        <f>IF(BE49&lt;&gt;0,BE49,IF(BE50&lt;&gt;0,BE50,IF(BE51&lt;&gt;0,BE51,IF(BE52&lt;&gt;0,BE52,0))))</f>
        <v>0</v>
      </c>
      <c r="BE8" s="50" t="str">
        <f>'[1]Verification of Boxes'!J13</f>
        <v xml:space="preserve">Heaney, Conor </v>
      </c>
      <c r="BF8" s="51"/>
      <c r="BG8" s="52">
        <f t="shared" si="0"/>
        <v>0</v>
      </c>
      <c r="BH8" s="53"/>
      <c r="BI8" s="54" t="str">
        <f t="shared" si="1"/>
        <v>Elected</v>
      </c>
      <c r="BJ8" s="54">
        <f t="shared" si="2"/>
        <v>0</v>
      </c>
      <c r="BM8" s="14"/>
      <c r="BN8" s="54" t="str">
        <f>IF(A11&lt;&gt;0,A11,0)</f>
        <v>Elected</v>
      </c>
      <c r="BO8" s="49">
        <f t="shared" ref="BO8:BO27" si="3">IF(AA14&gt;=$M$3,"Elected",AA14)</f>
        <v>1130.3000000000002</v>
      </c>
      <c r="BP8" s="94"/>
      <c r="BR8" s="95" t="str">
        <f>'[1]Verification of Boxes'!J10</f>
        <v>Barr, Lilian Seenoi</v>
      </c>
      <c r="BS8" s="51">
        <v>47</v>
      </c>
      <c r="BT8" s="54">
        <f t="shared" ref="BT8:BT29" si="4">BS8*BT$6</f>
        <v>47</v>
      </c>
      <c r="BU8" s="51"/>
      <c r="BV8" s="54">
        <f t="shared" ref="BV8:BV29" si="5">BU8*BV$6</f>
        <v>0</v>
      </c>
      <c r="BW8" s="51"/>
      <c r="BX8" s="54">
        <f t="shared" ref="BX8:BX29" si="6">BW8*BX$6</f>
        <v>0</v>
      </c>
      <c r="BY8" s="51"/>
      <c r="BZ8" s="54">
        <f t="shared" ref="BZ8:BZ29" si="7">BY8*BZ$6</f>
        <v>0</v>
      </c>
      <c r="CA8" s="51"/>
      <c r="CB8" s="54">
        <f t="shared" ref="CB8:CB29" si="8">CA8*CB$6</f>
        <v>0</v>
      </c>
      <c r="CC8" s="51"/>
      <c r="CD8" s="54">
        <f t="shared" ref="CD8:CD29" si="9">CC8*CD$6</f>
        <v>0</v>
      </c>
      <c r="CE8" s="54">
        <f t="shared" ref="CE8:CE28" si="10">BT8+BV8+BX8+BZ8+CB8+CD8</f>
        <v>47</v>
      </c>
    </row>
    <row r="9" spans="1:105" ht="15" customHeight="1" thickBot="1" x14ac:dyDescent="0.3">
      <c r="D9" s="43"/>
      <c r="E9" s="96"/>
      <c r="F9" s="61" t="s">
        <v>56</v>
      </c>
      <c r="G9" s="62"/>
      <c r="H9" s="61" t="s">
        <v>56</v>
      </c>
      <c r="I9" s="62"/>
      <c r="J9" s="61" t="s">
        <v>56</v>
      </c>
      <c r="K9" s="62"/>
      <c r="L9" s="61" t="s">
        <v>56</v>
      </c>
      <c r="M9" s="62"/>
      <c r="N9" s="61" t="s">
        <v>56</v>
      </c>
      <c r="O9" s="62"/>
      <c r="P9" s="61" t="s">
        <v>56</v>
      </c>
      <c r="Q9" s="62"/>
      <c r="R9" s="61" t="s">
        <v>56</v>
      </c>
      <c r="S9" s="62"/>
      <c r="T9" s="61" t="s">
        <v>56</v>
      </c>
      <c r="U9" s="62"/>
      <c r="V9" s="97" t="s">
        <v>56</v>
      </c>
      <c r="W9" s="98"/>
      <c r="AA9" s="99"/>
      <c r="AB9" s="99"/>
      <c r="AC9" s="99"/>
      <c r="AJ9" t="s">
        <v>57</v>
      </c>
      <c r="AK9" s="66" t="s">
        <v>58</v>
      </c>
      <c r="AL9" s="66"/>
      <c r="AM9" s="66"/>
      <c r="AN9" s="66"/>
      <c r="AO9" s="66"/>
      <c r="AP9" s="66"/>
      <c r="AQ9" s="100" t="str">
        <f>IF(AT89&lt;&gt;0,"Exclude lowest candidate(s)","Transfer")</f>
        <v>Exclude lowest candidate(s)</v>
      </c>
      <c r="AR9" s="100"/>
      <c r="AS9" s="101"/>
      <c r="AT9" s="41"/>
      <c r="AU9" s="41"/>
      <c r="AW9" s="5"/>
      <c r="AX9" s="5"/>
      <c r="BE9" s="50" t="str">
        <f>'[1]Verification of Boxes'!J14</f>
        <v xml:space="preserve">Mac Cearáin, Seán </v>
      </c>
      <c r="BF9" s="51"/>
      <c r="BG9" s="52">
        <f t="shared" si="0"/>
        <v>0</v>
      </c>
      <c r="BH9" s="53"/>
      <c r="BI9" s="54" t="str">
        <f t="shared" si="1"/>
        <v>Excluded</v>
      </c>
      <c r="BJ9" s="54">
        <f t="shared" si="2"/>
        <v>0</v>
      </c>
      <c r="BM9" s="14"/>
      <c r="BN9" s="54" t="str">
        <f t="shared" ref="BN9:BN27" si="11">IF(A12&lt;&gt;0,A12,0)</f>
        <v>Elected</v>
      </c>
      <c r="BO9" s="49">
        <f t="shared" si="3"/>
        <v>1131.3499999999999</v>
      </c>
      <c r="BP9" s="94"/>
      <c r="BR9" s="95" t="str">
        <f>'[1]Verification of Boxes'!J11</f>
        <v xml:space="preserve">Cusack, Shauna </v>
      </c>
      <c r="BS9" s="51">
        <v>69</v>
      </c>
      <c r="BT9" s="54">
        <f t="shared" si="4"/>
        <v>69</v>
      </c>
      <c r="BU9" s="51"/>
      <c r="BV9" s="54">
        <f t="shared" si="5"/>
        <v>0</v>
      </c>
      <c r="BW9" s="51"/>
      <c r="BX9" s="54">
        <f t="shared" si="6"/>
        <v>0</v>
      </c>
      <c r="BY9" s="51"/>
      <c r="BZ9" s="54">
        <f t="shared" si="7"/>
        <v>0</v>
      </c>
      <c r="CA9" s="51"/>
      <c r="CB9" s="54">
        <f t="shared" si="8"/>
        <v>0</v>
      </c>
      <c r="CC9" s="51"/>
      <c r="CD9" s="54">
        <f t="shared" si="9"/>
        <v>0</v>
      </c>
      <c r="CE9" s="54">
        <f t="shared" si="10"/>
        <v>69</v>
      </c>
    </row>
    <row r="10" spans="1:105" ht="15" customHeight="1" thickBot="1" x14ac:dyDescent="0.25">
      <c r="A10" s="102" t="s">
        <v>59</v>
      </c>
      <c r="B10" s="103" t="s">
        <v>60</v>
      </c>
      <c r="C10" s="103" t="s">
        <v>61</v>
      </c>
      <c r="D10" s="104" t="s">
        <v>62</v>
      </c>
      <c r="E10" s="105" t="s">
        <v>63</v>
      </c>
      <c r="F10" s="97"/>
      <c r="G10" s="98" t="s">
        <v>64</v>
      </c>
      <c r="H10" s="106"/>
      <c r="I10" s="107" t="s">
        <v>64</v>
      </c>
      <c r="J10" s="108"/>
      <c r="K10" s="107" t="s">
        <v>64</v>
      </c>
      <c r="L10" s="106"/>
      <c r="M10" s="107" t="s">
        <v>64</v>
      </c>
      <c r="N10" s="106"/>
      <c r="O10" s="107" t="s">
        <v>64</v>
      </c>
      <c r="P10" s="106"/>
      <c r="Q10" s="107" t="s">
        <v>64</v>
      </c>
      <c r="R10" s="106"/>
      <c r="S10" s="107" t="s">
        <v>64</v>
      </c>
      <c r="T10" s="106"/>
      <c r="U10" s="107" t="s">
        <v>64</v>
      </c>
      <c r="V10" s="106"/>
      <c r="W10" s="107" t="s">
        <v>64</v>
      </c>
      <c r="AK10" s="66"/>
      <c r="AL10" s="66"/>
      <c r="AM10" s="66"/>
      <c r="AN10" s="66"/>
      <c r="AO10" s="66"/>
      <c r="AP10" s="66"/>
      <c r="AQ10" s="100"/>
      <c r="AR10" s="100"/>
      <c r="AS10" s="101"/>
      <c r="AZ10" t="s">
        <v>65</v>
      </c>
      <c r="BA10" s="14" t="s">
        <v>66</v>
      </c>
      <c r="BB10" s="14"/>
      <c r="BC10" s="109"/>
      <c r="BE10" s="50" t="str">
        <f>'[1]Verification of Boxes'!J15</f>
        <v xml:space="preserve">Mc Callion, Stephen </v>
      </c>
      <c r="BF10" s="51"/>
      <c r="BG10" s="52">
        <f t="shared" si="0"/>
        <v>0</v>
      </c>
      <c r="BH10" s="53"/>
      <c r="BI10" s="54">
        <f t="shared" si="1"/>
        <v>0</v>
      </c>
      <c r="BJ10" s="54">
        <f t="shared" si="2"/>
        <v>0</v>
      </c>
      <c r="BM10" s="14"/>
      <c r="BN10" s="54" t="str">
        <f t="shared" si="11"/>
        <v>Elected</v>
      </c>
      <c r="BO10" s="49">
        <f t="shared" si="3"/>
        <v>1140.1500000000001</v>
      </c>
      <c r="BP10" s="94"/>
      <c r="BR10" s="95" t="str">
        <f>'[1]Verification of Boxes'!J12</f>
        <v>Harkin, Shaun</v>
      </c>
      <c r="BS10" s="51">
        <v>99</v>
      </c>
      <c r="BT10" s="54">
        <f t="shared" si="4"/>
        <v>99</v>
      </c>
      <c r="BU10" s="51"/>
      <c r="BV10" s="54">
        <f t="shared" si="5"/>
        <v>0</v>
      </c>
      <c r="BW10" s="51"/>
      <c r="BX10" s="54">
        <f t="shared" si="6"/>
        <v>0</v>
      </c>
      <c r="BY10" s="51"/>
      <c r="BZ10" s="54">
        <f t="shared" si="7"/>
        <v>0</v>
      </c>
      <c r="CA10" s="51"/>
      <c r="CB10" s="54">
        <f t="shared" si="8"/>
        <v>0</v>
      </c>
      <c r="CC10" s="51"/>
      <c r="CD10" s="54">
        <f t="shared" si="9"/>
        <v>0</v>
      </c>
      <c r="CE10" s="54">
        <f t="shared" si="10"/>
        <v>99</v>
      </c>
    </row>
    <row r="11" spans="1:105" ht="15" customHeight="1" thickBot="1" x14ac:dyDescent="0.25">
      <c r="A11" s="110" t="s">
        <v>59</v>
      </c>
      <c r="B11" s="111">
        <f>'[1]Stage 4'!B11</f>
        <v>0</v>
      </c>
      <c r="C11" s="112" t="str">
        <f>'[1]Verification of Boxes'!J10</f>
        <v>Barr, Lilian Seenoi</v>
      </c>
      <c r="D11" s="110" t="str">
        <f>'[1]Verification of Boxes'!K10</f>
        <v>SDLP</v>
      </c>
      <c r="E11" s="113">
        <f>'[1]Verification of Boxes'!L10</f>
        <v>960</v>
      </c>
      <c r="F11" s="114">
        <f>'[1]Stage 2'!F11</f>
        <v>28</v>
      </c>
      <c r="G11" s="115">
        <f>'[1]Stage 2'!G11</f>
        <v>988</v>
      </c>
      <c r="H11" s="114">
        <f>'[1]Stage 3'!H11</f>
        <v>85.399999999999991</v>
      </c>
      <c r="I11" s="115">
        <f>'[1]Stage 3'!I11</f>
        <v>1073.4000000000001</v>
      </c>
      <c r="J11" s="114">
        <f>'[1]Stage 4'!J11</f>
        <v>56.9</v>
      </c>
      <c r="K11" s="115">
        <f>'[1]Stage 4'!K11</f>
        <v>1130.3000000000002</v>
      </c>
      <c r="L11" s="114">
        <f t="shared" ref="L11:L30" si="12">IF($C11&lt;&gt;0,$BK49,0)</f>
        <v>47</v>
      </c>
      <c r="M11" s="116">
        <f t="shared" ref="M11:M31" si="13">IF(L$8=0,0,K11+L11)</f>
        <v>1177.3000000000002</v>
      </c>
      <c r="N11" s="114"/>
      <c r="O11" s="116">
        <f t="shared" ref="O11:O31" si="14">IF(N$8=0,0,M11+N11)</f>
        <v>0</v>
      </c>
      <c r="P11" s="114"/>
      <c r="Q11" s="116">
        <f t="shared" ref="Q11:Q31" si="15">IF(P$8=0,0,O11+P11)</f>
        <v>0</v>
      </c>
      <c r="R11" s="114"/>
      <c r="S11" s="116">
        <f t="shared" ref="S11:S31" si="16">IF(R$8=0,0,Q11+R11)</f>
        <v>0</v>
      </c>
      <c r="T11" s="114"/>
      <c r="U11" s="116">
        <f t="shared" ref="U11:U31" si="17">IF(T$8=0,0,S11+T11)</f>
        <v>0</v>
      </c>
      <c r="V11" s="117"/>
      <c r="W11" s="118">
        <f t="shared" ref="W11:W31" si="18">IF(V$8=0,0,U11+V11)</f>
        <v>0</v>
      </c>
      <c r="AA11" s="14"/>
      <c r="AZ11" t="s">
        <v>20</v>
      </c>
      <c r="BA11" s="14" t="s">
        <v>67</v>
      </c>
      <c r="BB11" s="14"/>
      <c r="BC11" s="105">
        <f>'[1]Verification of Boxes'!G4</f>
        <v>1194</v>
      </c>
      <c r="BE11" s="50" t="str">
        <f>'[1]Verification of Boxes'!J16</f>
        <v xml:space="preserve">McCloskey, Danny </v>
      </c>
      <c r="BF11" s="51"/>
      <c r="BG11" s="52">
        <f t="shared" si="0"/>
        <v>0</v>
      </c>
      <c r="BH11" s="53"/>
      <c r="BI11" s="54" t="str">
        <f t="shared" si="1"/>
        <v>Excluded</v>
      </c>
      <c r="BJ11" s="54" t="str">
        <f t="shared" si="2"/>
        <v>Excluded</v>
      </c>
      <c r="BM11" s="14"/>
      <c r="BN11" s="54" t="str">
        <f t="shared" si="11"/>
        <v>Elected</v>
      </c>
      <c r="BO11" s="49" t="str">
        <f t="shared" si="3"/>
        <v>Elected</v>
      </c>
      <c r="BP11" s="94"/>
      <c r="BR11" s="95" t="str">
        <f>'[1]Verification of Boxes'!J13</f>
        <v xml:space="preserve">Heaney, Conor </v>
      </c>
      <c r="BS11" s="51"/>
      <c r="BT11" s="54">
        <f t="shared" si="4"/>
        <v>0</v>
      </c>
      <c r="BU11" s="51"/>
      <c r="BV11" s="54">
        <f t="shared" si="5"/>
        <v>0</v>
      </c>
      <c r="BW11" s="51"/>
      <c r="BX11" s="54">
        <f t="shared" si="6"/>
        <v>0</v>
      </c>
      <c r="BY11" s="51"/>
      <c r="BZ11" s="54">
        <f t="shared" si="7"/>
        <v>0</v>
      </c>
      <c r="CA11" s="51"/>
      <c r="CB11" s="54">
        <f t="shared" si="8"/>
        <v>0</v>
      </c>
      <c r="CC11" s="51"/>
      <c r="CD11" s="54">
        <f t="shared" si="9"/>
        <v>0</v>
      </c>
      <c r="CE11" s="54">
        <f t="shared" si="10"/>
        <v>0</v>
      </c>
    </row>
    <row r="12" spans="1:105" ht="15" customHeight="1" thickBot="1" x14ac:dyDescent="0.3">
      <c r="A12" s="119" t="str">
        <f>IF('[1]Stage 4'!A12&lt;&gt;0,'[1]Stage 4'!A12,IF(M12&gt;=$M$3,"Elected",IF(BP9&lt;&gt;0,"Excluded",0)))</f>
        <v>Elected</v>
      </c>
      <c r="B12" s="111">
        <f>'[1]Stage 4'!B12</f>
        <v>0</v>
      </c>
      <c r="C12" s="120" t="str">
        <f>'[1]Verification of Boxes'!J11</f>
        <v xml:space="preserve">Cusack, Shauna </v>
      </c>
      <c r="D12" s="119" t="str">
        <f>'[1]Verification of Boxes'!K11</f>
        <v>SDLP</v>
      </c>
      <c r="E12" s="121">
        <f>'[1]Verification of Boxes'!L11</f>
        <v>948</v>
      </c>
      <c r="F12" s="114">
        <f>'[1]Stage 2'!F12</f>
        <v>36.75</v>
      </c>
      <c r="G12" s="115">
        <f>'[1]Stage 2'!G12</f>
        <v>984.75</v>
      </c>
      <c r="H12" s="114">
        <f>'[1]Stage 3'!H12</f>
        <v>87.5</v>
      </c>
      <c r="I12" s="115">
        <f>'[1]Stage 3'!I12</f>
        <v>1072.25</v>
      </c>
      <c r="J12" s="114">
        <f>'[1]Stage 4'!J12</f>
        <v>59.1</v>
      </c>
      <c r="K12" s="115">
        <f>'[1]Stage 4'!K12</f>
        <v>1131.3499999999999</v>
      </c>
      <c r="L12" s="114">
        <f t="shared" si="12"/>
        <v>69</v>
      </c>
      <c r="M12" s="116">
        <f t="shared" si="13"/>
        <v>1200.3499999999999</v>
      </c>
      <c r="N12" s="114"/>
      <c r="O12" s="116">
        <f t="shared" si="14"/>
        <v>0</v>
      </c>
      <c r="P12" s="114"/>
      <c r="Q12" s="116">
        <f t="shared" si="15"/>
        <v>0</v>
      </c>
      <c r="R12" s="114"/>
      <c r="S12" s="116">
        <f t="shared" si="16"/>
        <v>0</v>
      </c>
      <c r="T12" s="114"/>
      <c r="U12" s="116">
        <f t="shared" si="17"/>
        <v>0</v>
      </c>
      <c r="V12" s="117"/>
      <c r="W12" s="118">
        <f t="shared" si="18"/>
        <v>0</v>
      </c>
      <c r="AJ12" s="99"/>
      <c r="AZ12" t="s">
        <v>68</v>
      </c>
      <c r="BA12" s="14" t="s">
        <v>69</v>
      </c>
      <c r="BB12" s="14"/>
      <c r="BC12" s="122">
        <f>AG3</f>
        <v>0</v>
      </c>
      <c r="BE12" s="50" t="str">
        <f>'[1]Verification of Boxes'!J17</f>
        <v xml:space="preserve">Uí Niallais, Grace </v>
      </c>
      <c r="BF12" s="51"/>
      <c r="BG12" s="52">
        <f t="shared" si="0"/>
        <v>0</v>
      </c>
      <c r="BH12" s="53"/>
      <c r="BI12" s="54" t="str">
        <f t="shared" si="1"/>
        <v>Elected</v>
      </c>
      <c r="BJ12" s="54">
        <f t="shared" si="2"/>
        <v>0</v>
      </c>
      <c r="BM12" s="14"/>
      <c r="BN12" s="54" t="str">
        <f t="shared" si="11"/>
        <v>Excluded</v>
      </c>
      <c r="BO12" s="49">
        <f t="shared" si="3"/>
        <v>493.5</v>
      </c>
      <c r="BP12" s="94" t="s">
        <v>70</v>
      </c>
      <c r="BR12" s="95" t="str">
        <f>'[1]Verification of Boxes'!J14</f>
        <v xml:space="preserve">Mac Cearáin, Seán </v>
      </c>
      <c r="BS12" s="51"/>
      <c r="BT12" s="54">
        <f t="shared" si="4"/>
        <v>0</v>
      </c>
      <c r="BU12" s="51"/>
      <c r="BV12" s="54">
        <f t="shared" si="5"/>
        <v>0</v>
      </c>
      <c r="BW12" s="51"/>
      <c r="BX12" s="54">
        <f t="shared" si="6"/>
        <v>0</v>
      </c>
      <c r="BY12" s="51"/>
      <c r="BZ12" s="54">
        <f t="shared" si="7"/>
        <v>0</v>
      </c>
      <c r="CA12" s="51"/>
      <c r="CB12" s="54">
        <f t="shared" si="8"/>
        <v>0</v>
      </c>
      <c r="CC12" s="51"/>
      <c r="CD12" s="54">
        <f t="shared" si="9"/>
        <v>0</v>
      </c>
      <c r="CE12" s="54">
        <f t="shared" si="10"/>
        <v>0</v>
      </c>
    </row>
    <row r="13" spans="1:105" ht="15" customHeight="1" thickBot="1" x14ac:dyDescent="0.25">
      <c r="A13" s="119" t="str">
        <f>IF('[1]Stage 4'!A13&lt;&gt;0,'[1]Stage 4'!A13,IF(M13&gt;=$M$3,"Elected",IF(BP10&lt;&gt;0,"Excluded",0)))</f>
        <v>Elected</v>
      </c>
      <c r="B13" s="111">
        <f>'[1]Stage 4'!B13</f>
        <v>0</v>
      </c>
      <c r="C13" s="120" t="str">
        <f>'[1]Verification of Boxes'!J12</f>
        <v>Harkin, Shaun</v>
      </c>
      <c r="D13" s="119" t="str">
        <f>'[1]Verification of Boxes'!K12</f>
        <v xml:space="preserve">People Before Profit Alliance </v>
      </c>
      <c r="E13" s="121">
        <f>'[1]Verification of Boxes'!L12</f>
        <v>979</v>
      </c>
      <c r="F13" s="114">
        <f>'[1]Stage 2'!F13</f>
        <v>20.65</v>
      </c>
      <c r="G13" s="115">
        <f>'[1]Stage 2'!G13</f>
        <v>999.65</v>
      </c>
      <c r="H13" s="114">
        <f>'[1]Stage 3'!H13</f>
        <v>75.25</v>
      </c>
      <c r="I13" s="115">
        <f>'[1]Stage 3'!I13</f>
        <v>1074.9000000000001</v>
      </c>
      <c r="J13" s="114">
        <f>'[1]Stage 4'!J13</f>
        <v>65.25</v>
      </c>
      <c r="K13" s="115">
        <f>'[1]Stage 4'!K13</f>
        <v>1140.1500000000001</v>
      </c>
      <c r="L13" s="114">
        <f t="shared" si="12"/>
        <v>99</v>
      </c>
      <c r="M13" s="116">
        <f t="shared" si="13"/>
        <v>1239.1500000000001</v>
      </c>
      <c r="N13" s="114"/>
      <c r="O13" s="116">
        <f t="shared" si="14"/>
        <v>0</v>
      </c>
      <c r="P13" s="114"/>
      <c r="Q13" s="116">
        <f t="shared" si="15"/>
        <v>0</v>
      </c>
      <c r="R13" s="114"/>
      <c r="S13" s="116">
        <f t="shared" si="16"/>
        <v>0</v>
      </c>
      <c r="T13" s="114"/>
      <c r="U13" s="116">
        <f t="shared" si="17"/>
        <v>0</v>
      </c>
      <c r="V13" s="117"/>
      <c r="W13" s="118">
        <f t="shared" si="18"/>
        <v>0</v>
      </c>
      <c r="Z13" s="102" t="s">
        <v>61</v>
      </c>
      <c r="AA13" s="123" t="s">
        <v>71</v>
      </c>
      <c r="AB13" s="103"/>
      <c r="AC13" s="103" t="s">
        <v>72</v>
      </c>
      <c r="AD13" s="124"/>
      <c r="AE13" s="103" t="s">
        <v>73</v>
      </c>
      <c r="AF13" s="124" t="s">
        <v>74</v>
      </c>
      <c r="AG13" s="125"/>
      <c r="AI13" s="5"/>
      <c r="AJ13" s="126"/>
      <c r="AK13" s="103"/>
      <c r="AL13" s="127" t="s">
        <v>75</v>
      </c>
      <c r="AM13" s="127" t="s">
        <v>72</v>
      </c>
      <c r="AN13" s="127" t="s">
        <v>76</v>
      </c>
      <c r="AO13" s="127" t="s">
        <v>77</v>
      </c>
      <c r="AP13" s="128"/>
      <c r="AQ13" s="127"/>
      <c r="AR13" s="129"/>
      <c r="AZ13" t="s">
        <v>78</v>
      </c>
      <c r="BA13" s="14" t="s">
        <v>79</v>
      </c>
      <c r="BB13" s="14"/>
      <c r="BC13" s="130"/>
      <c r="BE13" s="50">
        <f>'[1]Verification of Boxes'!J18</f>
        <v>0</v>
      </c>
      <c r="BF13" s="51"/>
      <c r="BG13" s="52">
        <f t="shared" si="0"/>
        <v>0</v>
      </c>
      <c r="BH13" s="53"/>
      <c r="BI13" s="54">
        <f t="shared" si="1"/>
        <v>0</v>
      </c>
      <c r="BJ13" s="54">
        <f t="shared" si="2"/>
        <v>0</v>
      </c>
      <c r="BM13" s="14"/>
      <c r="BN13" s="54">
        <f t="shared" si="11"/>
        <v>0</v>
      </c>
      <c r="BO13" s="49">
        <f t="shared" si="3"/>
        <v>734.7</v>
      </c>
      <c r="BP13" s="94"/>
      <c r="BR13" s="95" t="str">
        <f>'[1]Verification of Boxes'!J15</f>
        <v xml:space="preserve">Mc Callion, Stephen </v>
      </c>
      <c r="BS13" s="131">
        <v>43</v>
      </c>
      <c r="BT13" s="54">
        <f t="shared" si="4"/>
        <v>43</v>
      </c>
      <c r="BU13" s="131"/>
      <c r="BV13" s="54">
        <f t="shared" si="5"/>
        <v>0</v>
      </c>
      <c r="BW13" s="131"/>
      <c r="BX13" s="54">
        <f t="shared" si="6"/>
        <v>0</v>
      </c>
      <c r="BY13" s="131"/>
      <c r="BZ13" s="54">
        <f t="shared" si="7"/>
        <v>0</v>
      </c>
      <c r="CA13" s="131"/>
      <c r="CB13" s="54">
        <f t="shared" si="8"/>
        <v>0</v>
      </c>
      <c r="CC13" s="131"/>
      <c r="CD13" s="54">
        <f t="shared" si="9"/>
        <v>0</v>
      </c>
      <c r="CE13" s="132">
        <f t="shared" si="10"/>
        <v>43</v>
      </c>
    </row>
    <row r="14" spans="1:105" ht="15" customHeight="1" thickBot="1" x14ac:dyDescent="0.25">
      <c r="A14" s="119" t="str">
        <f>IF('[1]Stage 4'!A14&lt;&gt;0,'[1]Stage 4'!A14,IF(M14&gt;=$M$3,"Elected",IF(BP11&lt;&gt;0,"Excluded",0)))</f>
        <v>Elected</v>
      </c>
      <c r="B14" s="111">
        <f>'[1]Stage 4'!B14</f>
        <v>0</v>
      </c>
      <c r="C14" s="120" t="str">
        <f>'[1]Verification of Boxes'!J13</f>
        <v xml:space="preserve">Heaney, Conor </v>
      </c>
      <c r="D14" s="119" t="str">
        <f>'[1]Verification of Boxes'!K13</f>
        <v xml:space="preserve">Sinn Féin </v>
      </c>
      <c r="E14" s="121">
        <f>'[1]Verification of Boxes'!L13</f>
        <v>1846</v>
      </c>
      <c r="F14" s="114">
        <f>'[1]Stage 2'!F14</f>
        <v>-652</v>
      </c>
      <c r="G14" s="115">
        <f>'[1]Stage 2'!G14</f>
        <v>1194</v>
      </c>
      <c r="H14" s="114">
        <f>'[1]Stage 3'!H14</f>
        <v>0</v>
      </c>
      <c r="I14" s="115">
        <f>'[1]Stage 3'!I14</f>
        <v>1194</v>
      </c>
      <c r="J14" s="114">
        <f>'[1]Stage 4'!J14</f>
        <v>0</v>
      </c>
      <c r="K14" s="115">
        <f>'[1]Stage 4'!K14</f>
        <v>1194</v>
      </c>
      <c r="L14" s="114">
        <f t="shared" si="12"/>
        <v>0</v>
      </c>
      <c r="M14" s="116">
        <f t="shared" si="13"/>
        <v>1194</v>
      </c>
      <c r="N14" s="114"/>
      <c r="O14" s="116">
        <f t="shared" si="14"/>
        <v>0</v>
      </c>
      <c r="P14" s="114"/>
      <c r="Q14" s="116">
        <f t="shared" si="15"/>
        <v>0</v>
      </c>
      <c r="R14" s="114"/>
      <c r="S14" s="116">
        <f t="shared" si="16"/>
        <v>0</v>
      </c>
      <c r="T14" s="114"/>
      <c r="U14" s="116">
        <f t="shared" si="17"/>
        <v>0</v>
      </c>
      <c r="V14" s="117"/>
      <c r="W14" s="118">
        <f t="shared" si="18"/>
        <v>0</v>
      </c>
      <c r="Z14" s="133" t="str">
        <f>'[1]Verification of Boxes'!J10</f>
        <v>Barr, Lilian Seenoi</v>
      </c>
      <c r="AA14" s="134">
        <f>K11</f>
        <v>1130.3000000000002</v>
      </c>
      <c r="AB14" s="135"/>
      <c r="AC14" s="136">
        <f t="shared" ref="AC14:AC33" si="19">IF(AA14&gt;0,AA14-AG$4,0)</f>
        <v>-63.699999999999818</v>
      </c>
      <c r="AD14" s="137"/>
      <c r="AE14" s="135" t="str">
        <f>IF(Z14=0,0,IF(AA14&gt;=AG$4,"elected",IF(AA14=0,"excluded","continuing")))</f>
        <v>continuing</v>
      </c>
      <c r="AF14" s="135">
        <f t="shared" ref="AF14:AF33" si="20">IF(AE14="elected",AC14,0)</f>
        <v>0</v>
      </c>
      <c r="AG14" s="138">
        <f t="shared" ref="AG14:AG33" si="21">IF(AF14=0,0,(IF(AC14&gt;=0,"transfer largest surplus","progress to exclude")))</f>
        <v>0</v>
      </c>
      <c r="AJ14" s="139"/>
      <c r="AL14" s="55"/>
      <c r="AM14" s="55"/>
      <c r="AN14" s="55"/>
      <c r="AO14" s="55"/>
      <c r="AP14" s="140"/>
      <c r="AQ14" s="55"/>
      <c r="AR14" s="141"/>
      <c r="AZ14" t="s">
        <v>80</v>
      </c>
      <c r="BA14" s="14" t="s">
        <v>81</v>
      </c>
      <c r="BB14" s="14"/>
      <c r="BC14" s="109"/>
      <c r="BE14" s="50">
        <f>'[1]Verification of Boxes'!J19</f>
        <v>0</v>
      </c>
      <c r="BF14" s="51"/>
      <c r="BG14" s="52">
        <f t="shared" si="0"/>
        <v>0</v>
      </c>
      <c r="BH14" s="53"/>
      <c r="BI14" s="54">
        <f t="shared" si="1"/>
        <v>0</v>
      </c>
      <c r="BJ14" s="54">
        <f t="shared" si="2"/>
        <v>0</v>
      </c>
      <c r="BM14" s="14"/>
      <c r="BN14" s="54" t="str">
        <f t="shared" si="11"/>
        <v>Excluded</v>
      </c>
      <c r="BO14" s="49">
        <f t="shared" si="3"/>
        <v>0</v>
      </c>
      <c r="BP14" s="94"/>
      <c r="BR14" s="95" t="str">
        <f>'[1]Verification of Boxes'!J16</f>
        <v xml:space="preserve">McCloskey, Danny </v>
      </c>
      <c r="BS14" s="51"/>
      <c r="BT14" s="54">
        <f t="shared" si="4"/>
        <v>0</v>
      </c>
      <c r="BU14" s="51"/>
      <c r="BV14" s="54">
        <f t="shared" si="5"/>
        <v>0</v>
      </c>
      <c r="BW14" s="51"/>
      <c r="BX14" s="54">
        <f t="shared" si="6"/>
        <v>0</v>
      </c>
      <c r="BY14" s="51"/>
      <c r="BZ14" s="54">
        <f t="shared" si="7"/>
        <v>0</v>
      </c>
      <c r="CA14" s="51"/>
      <c r="CB14" s="54">
        <f t="shared" si="8"/>
        <v>0</v>
      </c>
      <c r="CC14" s="51"/>
      <c r="CD14" s="54">
        <f t="shared" si="9"/>
        <v>0</v>
      </c>
      <c r="CE14" s="54">
        <f t="shared" si="10"/>
        <v>0</v>
      </c>
    </row>
    <row r="15" spans="1:105" ht="15" customHeight="1" thickBot="1" x14ac:dyDescent="0.25">
      <c r="A15" s="119" t="str">
        <f>IF('[1]Stage 4'!A15&lt;&gt;0,'[1]Stage 4'!A15,IF(M15&gt;=$M$3,"Elected",IF(BP12&lt;&gt;0,"Excluded",0)))</f>
        <v>Excluded</v>
      </c>
      <c r="B15" s="111">
        <f>'[1]Stage 4'!B15</f>
        <v>0</v>
      </c>
      <c r="C15" s="120" t="str">
        <f>'[1]Verification of Boxes'!J14</f>
        <v xml:space="preserve">Mac Cearáin, Seán </v>
      </c>
      <c r="D15" s="119" t="str">
        <f>'[1]Verification of Boxes'!K14</f>
        <v>Aontú for Life, Unity, Economic Justice</v>
      </c>
      <c r="E15" s="121">
        <f>'[1]Verification of Boxes'!L14</f>
        <v>423</v>
      </c>
      <c r="F15" s="114">
        <f>'[1]Stage 2'!F15</f>
        <v>11.549999999999999</v>
      </c>
      <c r="G15" s="115">
        <f>'[1]Stage 2'!G15</f>
        <v>434.55</v>
      </c>
      <c r="H15" s="114">
        <f>'[1]Stage 3'!H15</f>
        <v>38.15</v>
      </c>
      <c r="I15" s="115">
        <f>'[1]Stage 3'!I15</f>
        <v>472.7</v>
      </c>
      <c r="J15" s="114">
        <f>'[1]Stage 4'!J15</f>
        <v>20.8</v>
      </c>
      <c r="K15" s="115">
        <f>'[1]Stage 4'!K15</f>
        <v>493.5</v>
      </c>
      <c r="L15" s="114">
        <f t="shared" si="12"/>
        <v>-493.5</v>
      </c>
      <c r="M15" s="116">
        <f t="shared" si="13"/>
        <v>0</v>
      </c>
      <c r="N15" s="114"/>
      <c r="O15" s="116">
        <f t="shared" si="14"/>
        <v>0</v>
      </c>
      <c r="P15" s="114"/>
      <c r="Q15" s="116">
        <f t="shared" si="15"/>
        <v>0</v>
      </c>
      <c r="R15" s="114"/>
      <c r="S15" s="116">
        <f t="shared" si="16"/>
        <v>0</v>
      </c>
      <c r="T15" s="114"/>
      <c r="U15" s="116">
        <f t="shared" si="17"/>
        <v>0</v>
      </c>
      <c r="V15" s="117"/>
      <c r="W15" s="118">
        <f t="shared" si="18"/>
        <v>0</v>
      </c>
      <c r="Z15" s="142" t="str">
        <f>'[1]Verification of Boxes'!J11</f>
        <v xml:space="preserve">Cusack, Shauna </v>
      </c>
      <c r="AA15" s="143">
        <f>K12</f>
        <v>1131.3499999999999</v>
      </c>
      <c r="AB15" s="54"/>
      <c r="AC15" s="52">
        <f t="shared" si="19"/>
        <v>-62.650000000000091</v>
      </c>
      <c r="AD15" s="144"/>
      <c r="AE15" s="54" t="str">
        <f t="shared" ref="AE15:AE33" si="22">IF(Z15=0,0,IF(AA15&gt;=AG$4,"elected",IF(AA15=0,"excluded","continuing")))</f>
        <v>continuing</v>
      </c>
      <c r="AF15" s="54">
        <f t="shared" si="20"/>
        <v>0</v>
      </c>
      <c r="AG15" s="145">
        <f t="shared" si="21"/>
        <v>0</v>
      </c>
      <c r="AJ15" s="139"/>
      <c r="AL15" s="55"/>
      <c r="AM15" s="55"/>
      <c r="AN15" s="55"/>
      <c r="AO15" s="55"/>
      <c r="AP15" s="140"/>
      <c r="AQ15" s="55"/>
      <c r="AR15" s="141"/>
      <c r="BA15" s="14"/>
      <c r="BB15" s="14"/>
      <c r="BC15" s="146"/>
      <c r="BE15" s="50">
        <f>'[1]Verification of Boxes'!J20</f>
        <v>0</v>
      </c>
      <c r="BF15" s="51"/>
      <c r="BG15" s="52">
        <f t="shared" si="0"/>
        <v>0</v>
      </c>
      <c r="BH15" s="53"/>
      <c r="BI15" s="54">
        <f t="shared" si="1"/>
        <v>0</v>
      </c>
      <c r="BJ15" s="54">
        <f t="shared" si="2"/>
        <v>0</v>
      </c>
      <c r="BM15" s="14"/>
      <c r="BN15" s="54" t="str">
        <f t="shared" si="11"/>
        <v>Elected</v>
      </c>
      <c r="BO15" s="49" t="str">
        <f t="shared" si="3"/>
        <v>Elected</v>
      </c>
      <c r="BP15" s="94"/>
      <c r="BR15" s="95" t="str">
        <f>'[1]Verification of Boxes'!J17</f>
        <v xml:space="preserve">Uí Niallais, Grace </v>
      </c>
      <c r="BS15" s="51"/>
      <c r="BT15" s="54">
        <f t="shared" si="4"/>
        <v>0</v>
      </c>
      <c r="BU15" s="51"/>
      <c r="BV15" s="54">
        <f t="shared" si="5"/>
        <v>0</v>
      </c>
      <c r="BW15" s="51"/>
      <c r="BX15" s="54">
        <f t="shared" si="6"/>
        <v>0</v>
      </c>
      <c r="BY15" s="51"/>
      <c r="BZ15" s="54">
        <f t="shared" si="7"/>
        <v>0</v>
      </c>
      <c r="CA15" s="51"/>
      <c r="CB15" s="54">
        <f t="shared" si="8"/>
        <v>0</v>
      </c>
      <c r="CC15" s="51"/>
      <c r="CD15" s="54">
        <f t="shared" si="9"/>
        <v>0</v>
      </c>
      <c r="CE15" s="54">
        <f t="shared" si="10"/>
        <v>0</v>
      </c>
    </row>
    <row r="16" spans="1:105" ht="15" customHeight="1" thickBot="1" x14ac:dyDescent="0.25">
      <c r="A16" s="119">
        <f>IF('[1]Stage 4'!A16&lt;&gt;0,'[1]Stage 4'!A16,IF(M16&gt;=$M$3,"Elected",IF(BP13&lt;&gt;0,"Excluded",0)))</f>
        <v>0</v>
      </c>
      <c r="B16" s="111">
        <f>'[1]Stage 4'!B16</f>
        <v>0</v>
      </c>
      <c r="C16" s="120" t="str">
        <f>'[1]Verification of Boxes'!J15</f>
        <v xml:space="preserve">Mc Callion, Stephen </v>
      </c>
      <c r="D16" s="119" t="str">
        <f>'[1]Verification of Boxes'!K15</f>
        <v>SDLP</v>
      </c>
      <c r="E16" s="121">
        <f>'[1]Verification of Boxes'!L15</f>
        <v>626</v>
      </c>
      <c r="F16" s="114">
        <f>'[1]Stage 2'!F16</f>
        <v>12.6</v>
      </c>
      <c r="G16" s="115">
        <f>'[1]Stage 2'!G16</f>
        <v>638.6</v>
      </c>
      <c r="H16" s="114">
        <f>'[1]Stage 3'!H16</f>
        <v>33.949999999999996</v>
      </c>
      <c r="I16" s="115">
        <f>'[1]Stage 3'!I16</f>
        <v>672.55000000000007</v>
      </c>
      <c r="J16" s="114">
        <f>'[1]Stage 4'!J16</f>
        <v>62.15</v>
      </c>
      <c r="K16" s="115">
        <f>'[1]Stage 4'!K16</f>
        <v>734.7</v>
      </c>
      <c r="L16" s="114">
        <f t="shared" si="12"/>
        <v>43</v>
      </c>
      <c r="M16" s="116">
        <f t="shared" si="13"/>
        <v>777.7</v>
      </c>
      <c r="N16" s="114"/>
      <c r="O16" s="116">
        <f t="shared" si="14"/>
        <v>0</v>
      </c>
      <c r="P16" s="114"/>
      <c r="Q16" s="116">
        <f t="shared" si="15"/>
        <v>0</v>
      </c>
      <c r="R16" s="114"/>
      <c r="S16" s="116">
        <f t="shared" si="16"/>
        <v>0</v>
      </c>
      <c r="T16" s="114"/>
      <c r="U16" s="116">
        <f t="shared" si="17"/>
        <v>0</v>
      </c>
      <c r="V16" s="117"/>
      <c r="W16" s="118">
        <f t="shared" si="18"/>
        <v>0</v>
      </c>
      <c r="Z16" s="142" t="str">
        <f>'[1]Verification of Boxes'!J12</f>
        <v>Harkin, Shaun</v>
      </c>
      <c r="AA16" s="143">
        <f t="shared" ref="AA16:AA33" si="23">K13</f>
        <v>1140.1500000000001</v>
      </c>
      <c r="AB16" s="54"/>
      <c r="AC16" s="52">
        <f t="shared" si="19"/>
        <v>-53.849999999999909</v>
      </c>
      <c r="AD16" s="144"/>
      <c r="AE16" s="54" t="str">
        <f t="shared" si="22"/>
        <v>continuing</v>
      </c>
      <c r="AF16" s="54">
        <f t="shared" si="20"/>
        <v>0</v>
      </c>
      <c r="AG16" s="145">
        <f t="shared" si="21"/>
        <v>0</v>
      </c>
      <c r="AJ16" s="139"/>
      <c r="AL16" s="55"/>
      <c r="AM16" s="55"/>
      <c r="AN16" s="55"/>
      <c r="AO16" s="55"/>
      <c r="AP16" s="140"/>
      <c r="AQ16" s="55"/>
      <c r="AR16" s="141"/>
      <c r="AZ16" t="s">
        <v>82</v>
      </c>
      <c r="BA16" s="14"/>
      <c r="BB16" s="14"/>
      <c r="BC16" s="146"/>
      <c r="BE16" s="50">
        <f>'[1]Verification of Boxes'!J21</f>
        <v>0</v>
      </c>
      <c r="BF16" s="51"/>
      <c r="BG16" s="52">
        <f t="shared" si="0"/>
        <v>0</v>
      </c>
      <c r="BH16" s="53"/>
      <c r="BI16" s="54">
        <f t="shared" si="1"/>
        <v>0</v>
      </c>
      <c r="BJ16" s="54">
        <f t="shared" si="2"/>
        <v>0</v>
      </c>
      <c r="BM16" s="14"/>
      <c r="BN16" s="54">
        <f t="shared" si="11"/>
        <v>0</v>
      </c>
      <c r="BO16" s="49">
        <f t="shared" si="3"/>
        <v>0</v>
      </c>
      <c r="BP16" s="94"/>
      <c r="BR16" s="95">
        <f>'[1]Verification of Boxes'!J18</f>
        <v>0</v>
      </c>
      <c r="BS16" s="51"/>
      <c r="BT16" s="54">
        <f t="shared" si="4"/>
        <v>0</v>
      </c>
      <c r="BU16" s="51"/>
      <c r="BV16" s="54">
        <f t="shared" si="5"/>
        <v>0</v>
      </c>
      <c r="BW16" s="51"/>
      <c r="BX16" s="54">
        <f t="shared" si="6"/>
        <v>0</v>
      </c>
      <c r="BY16" s="51"/>
      <c r="BZ16" s="54">
        <f t="shared" si="7"/>
        <v>0</v>
      </c>
      <c r="CA16" s="51"/>
      <c r="CB16" s="54">
        <f t="shared" si="8"/>
        <v>0</v>
      </c>
      <c r="CC16" s="51"/>
      <c r="CD16" s="54">
        <f t="shared" si="9"/>
        <v>0</v>
      </c>
      <c r="CE16" s="54">
        <f t="shared" si="10"/>
        <v>0</v>
      </c>
    </row>
    <row r="17" spans="1:83" ht="15" customHeight="1" thickBot="1" x14ac:dyDescent="0.25">
      <c r="A17" s="119" t="str">
        <f>IF('[1]Stage 4'!A17&lt;&gt;0,'[1]Stage 4'!A17,IF(M17&gt;=$M$3,"Elected",IF(BP14&lt;&gt;0,"Excluded",0)))</f>
        <v>Excluded</v>
      </c>
      <c r="B17" s="111">
        <f>'[1]Stage 4'!B17</f>
        <v>0</v>
      </c>
      <c r="C17" s="120" t="str">
        <f>'[1]Verification of Boxes'!J16</f>
        <v xml:space="preserve">McCloskey, Danny </v>
      </c>
      <c r="D17" s="119" t="str">
        <f>'[1]Verification of Boxes'!K16</f>
        <v xml:space="preserve">Alliance Party </v>
      </c>
      <c r="E17" s="121">
        <f>'[1]Verification of Boxes'!L16</f>
        <v>266</v>
      </c>
      <c r="F17" s="114">
        <f>'[1]Stage 2'!F17</f>
        <v>9.4499999999999993</v>
      </c>
      <c r="G17" s="115">
        <f>'[1]Stage 2'!G17</f>
        <v>275.45</v>
      </c>
      <c r="H17" s="114">
        <f>'[1]Stage 3'!H17</f>
        <v>31.849999999999998</v>
      </c>
      <c r="I17" s="115">
        <f>'[1]Stage 3'!I17</f>
        <v>307.3</v>
      </c>
      <c r="J17" s="114">
        <f>'[1]Stage 4'!J17</f>
        <v>-307.3</v>
      </c>
      <c r="K17" s="115">
        <f>'[1]Stage 4'!K17</f>
        <v>0</v>
      </c>
      <c r="L17" s="114">
        <f t="shared" si="12"/>
        <v>0</v>
      </c>
      <c r="M17" s="116">
        <f t="shared" si="13"/>
        <v>0</v>
      </c>
      <c r="N17" s="114"/>
      <c r="O17" s="116">
        <f t="shared" si="14"/>
        <v>0</v>
      </c>
      <c r="P17" s="114"/>
      <c r="Q17" s="116">
        <f t="shared" si="15"/>
        <v>0</v>
      </c>
      <c r="R17" s="114"/>
      <c r="S17" s="116">
        <f t="shared" si="16"/>
        <v>0</v>
      </c>
      <c r="T17" s="114"/>
      <c r="U17" s="116">
        <f t="shared" si="17"/>
        <v>0</v>
      </c>
      <c r="V17" s="117"/>
      <c r="W17" s="118">
        <f t="shared" si="18"/>
        <v>0</v>
      </c>
      <c r="Z17" s="142" t="str">
        <f>'[1]Verification of Boxes'!J13</f>
        <v xml:space="preserve">Heaney, Conor </v>
      </c>
      <c r="AA17" s="143">
        <f t="shared" si="23"/>
        <v>1194</v>
      </c>
      <c r="AB17" s="54"/>
      <c r="AC17" s="52">
        <f t="shared" si="19"/>
        <v>0</v>
      </c>
      <c r="AD17" s="144"/>
      <c r="AE17" s="54" t="str">
        <f t="shared" si="22"/>
        <v>elected</v>
      </c>
      <c r="AF17" s="54">
        <f t="shared" si="20"/>
        <v>0</v>
      </c>
      <c r="AG17" s="145">
        <f t="shared" si="21"/>
        <v>0</v>
      </c>
      <c r="AJ17" s="139"/>
      <c r="AL17" s="55"/>
      <c r="AM17" s="55"/>
      <c r="AN17" s="55"/>
      <c r="AO17" s="55"/>
      <c r="AP17" s="140"/>
      <c r="AQ17" s="55"/>
      <c r="AR17" s="141"/>
      <c r="BA17" s="14"/>
      <c r="BB17" s="14"/>
      <c r="BC17" s="146"/>
      <c r="BE17" s="50">
        <f>'[1]Verification of Boxes'!J22</f>
        <v>0</v>
      </c>
      <c r="BF17" s="51"/>
      <c r="BG17" s="52">
        <f t="shared" si="0"/>
        <v>0</v>
      </c>
      <c r="BH17" s="53"/>
      <c r="BI17" s="54">
        <f t="shared" si="1"/>
        <v>0</v>
      </c>
      <c r="BJ17" s="54">
        <f t="shared" si="2"/>
        <v>0</v>
      </c>
      <c r="BM17" s="14"/>
      <c r="BN17" s="54">
        <f t="shared" si="11"/>
        <v>0</v>
      </c>
      <c r="BO17" s="49">
        <f t="shared" si="3"/>
        <v>0</v>
      </c>
      <c r="BP17" s="94"/>
      <c r="BR17" s="95">
        <f>'[1]Verification of Boxes'!J19</f>
        <v>0</v>
      </c>
      <c r="BS17" s="51"/>
      <c r="BT17" s="54">
        <f t="shared" si="4"/>
        <v>0</v>
      </c>
      <c r="BU17" s="51"/>
      <c r="BV17" s="54">
        <f t="shared" si="5"/>
        <v>0</v>
      </c>
      <c r="BW17" s="51"/>
      <c r="BX17" s="54">
        <f t="shared" si="6"/>
        <v>0</v>
      </c>
      <c r="BY17" s="51"/>
      <c r="BZ17" s="54">
        <f t="shared" si="7"/>
        <v>0</v>
      </c>
      <c r="CA17" s="51"/>
      <c r="CB17" s="54">
        <f t="shared" si="8"/>
        <v>0</v>
      </c>
      <c r="CC17" s="51"/>
      <c r="CD17" s="54">
        <f t="shared" si="9"/>
        <v>0</v>
      </c>
      <c r="CE17" s="54">
        <f t="shared" si="10"/>
        <v>0</v>
      </c>
    </row>
    <row r="18" spans="1:83" ht="15" customHeight="1" thickBot="1" x14ac:dyDescent="0.25">
      <c r="A18" s="119" t="str">
        <f>IF('[1]Stage 4'!A18&lt;&gt;0,'[1]Stage 4'!A18,IF(M18&gt;=$M$3,"Elected",IF(BP15&lt;&gt;0,"Excluded",0)))</f>
        <v>Elected</v>
      </c>
      <c r="B18" s="111">
        <f>'[1]Stage 4'!B18</f>
        <v>0</v>
      </c>
      <c r="C18" s="120" t="str">
        <f>'[1]Verification of Boxes'!J17</f>
        <v xml:space="preserve">Uí Niallais, Grace </v>
      </c>
      <c r="D18" s="119" t="str">
        <f>'[1]Verification of Boxes'!K17</f>
        <v xml:space="preserve">Sinn Féin </v>
      </c>
      <c r="E18" s="121">
        <f>'[1]Verification of Boxes'!L17</f>
        <v>1115</v>
      </c>
      <c r="F18" s="114">
        <f>'[1]Stage 2'!F18</f>
        <v>520.79999999999995</v>
      </c>
      <c r="G18" s="115">
        <f>'[1]Stage 2'!G18</f>
        <v>1635.8</v>
      </c>
      <c r="H18" s="114">
        <f>'[1]Stage 3'!H18</f>
        <v>-441.79999999999995</v>
      </c>
      <c r="I18" s="115">
        <f>'[1]Stage 3'!I18</f>
        <v>1194</v>
      </c>
      <c r="J18" s="114">
        <f>'[1]Stage 4'!J18</f>
        <v>0</v>
      </c>
      <c r="K18" s="115">
        <f>'[1]Stage 4'!K18</f>
        <v>1194</v>
      </c>
      <c r="L18" s="114">
        <f t="shared" si="12"/>
        <v>0</v>
      </c>
      <c r="M18" s="116">
        <f t="shared" si="13"/>
        <v>1194</v>
      </c>
      <c r="N18" s="114"/>
      <c r="O18" s="116">
        <f t="shared" si="14"/>
        <v>0</v>
      </c>
      <c r="P18" s="114"/>
      <c r="Q18" s="116">
        <f t="shared" si="15"/>
        <v>0</v>
      </c>
      <c r="R18" s="114"/>
      <c r="S18" s="116">
        <f t="shared" si="16"/>
        <v>0</v>
      </c>
      <c r="T18" s="114"/>
      <c r="U18" s="116">
        <f t="shared" si="17"/>
        <v>0</v>
      </c>
      <c r="V18" s="117"/>
      <c r="W18" s="118">
        <f t="shared" si="18"/>
        <v>0</v>
      </c>
      <c r="Z18" s="142" t="str">
        <f>'[1]Verification of Boxes'!J14</f>
        <v xml:space="preserve">Mac Cearáin, Seán </v>
      </c>
      <c r="AA18" s="143">
        <f t="shared" si="23"/>
        <v>493.5</v>
      </c>
      <c r="AB18" s="54"/>
      <c r="AC18" s="52">
        <f t="shared" si="19"/>
        <v>-700.5</v>
      </c>
      <c r="AD18" s="144"/>
      <c r="AE18" s="54" t="str">
        <f t="shared" si="22"/>
        <v>continuing</v>
      </c>
      <c r="AF18" s="54">
        <f t="shared" si="20"/>
        <v>0</v>
      </c>
      <c r="AG18" s="145">
        <f t="shared" si="21"/>
        <v>0</v>
      </c>
      <c r="AJ18" s="139"/>
      <c r="AN18" s="55"/>
      <c r="AR18" s="141"/>
      <c r="AZ18" t="s">
        <v>83</v>
      </c>
      <c r="BA18" s="14" t="s">
        <v>84</v>
      </c>
      <c r="BB18" s="14"/>
      <c r="BC18" s="122">
        <f>BF25</f>
        <v>0</v>
      </c>
      <c r="BE18" s="50">
        <f>'[1]Verification of Boxes'!J23</f>
        <v>0</v>
      </c>
      <c r="BF18" s="51"/>
      <c r="BG18" s="52">
        <f t="shared" si="0"/>
        <v>0</v>
      </c>
      <c r="BH18" s="53"/>
      <c r="BI18" s="54">
        <f t="shared" si="1"/>
        <v>0</v>
      </c>
      <c r="BJ18" s="54">
        <f t="shared" si="2"/>
        <v>0</v>
      </c>
      <c r="BM18" s="14"/>
      <c r="BN18" s="54">
        <f t="shared" si="11"/>
        <v>0</v>
      </c>
      <c r="BO18" s="49">
        <f t="shared" si="3"/>
        <v>0</v>
      </c>
      <c r="BP18" s="94"/>
      <c r="BR18" s="95">
        <f>'[1]Verification of Boxes'!J20</f>
        <v>0</v>
      </c>
      <c r="BS18" s="51"/>
      <c r="BT18" s="54">
        <f t="shared" si="4"/>
        <v>0</v>
      </c>
      <c r="BU18" s="51"/>
      <c r="BV18" s="54">
        <f t="shared" si="5"/>
        <v>0</v>
      </c>
      <c r="BW18" s="51"/>
      <c r="BX18" s="54">
        <f t="shared" si="6"/>
        <v>0</v>
      </c>
      <c r="BY18" s="51"/>
      <c r="BZ18" s="54">
        <f t="shared" si="7"/>
        <v>0</v>
      </c>
      <c r="CA18" s="51"/>
      <c r="CB18" s="54">
        <f t="shared" si="8"/>
        <v>0</v>
      </c>
      <c r="CC18" s="51"/>
      <c r="CD18" s="54">
        <f t="shared" si="9"/>
        <v>0</v>
      </c>
      <c r="CE18" s="54">
        <f t="shared" si="10"/>
        <v>0</v>
      </c>
    </row>
    <row r="19" spans="1:83" ht="15" customHeight="1" thickBot="1" x14ac:dyDescent="0.25">
      <c r="A19" s="119">
        <f>IF('[1]Stage 4'!A19&lt;&gt;0,'[1]Stage 4'!A19,IF(M19&gt;=$M$3,"Elected",IF(BP16&lt;&gt;0,"Excluded",0)))</f>
        <v>0</v>
      </c>
      <c r="B19" s="111">
        <f>'[1]Stage 4'!B19</f>
        <v>0</v>
      </c>
      <c r="C19" s="120">
        <f>'[1]Verification of Boxes'!J18</f>
        <v>0</v>
      </c>
      <c r="D19" s="119">
        <f>'[1]Verification of Boxes'!K18</f>
        <v>0</v>
      </c>
      <c r="E19" s="121">
        <f>'[1]Verification of Boxes'!L18</f>
        <v>0</v>
      </c>
      <c r="F19" s="114">
        <f>'[1]Stage 2'!F19</f>
        <v>0</v>
      </c>
      <c r="G19" s="115">
        <f>'[1]Stage 2'!G19</f>
        <v>0</v>
      </c>
      <c r="H19" s="114">
        <f>'[1]Stage 3'!H19</f>
        <v>0</v>
      </c>
      <c r="I19" s="115">
        <f>'[1]Stage 3'!I19</f>
        <v>0</v>
      </c>
      <c r="J19" s="114">
        <f>'[1]Stage 4'!J19</f>
        <v>0</v>
      </c>
      <c r="K19" s="115">
        <f>'[1]Stage 4'!K19</f>
        <v>0</v>
      </c>
      <c r="L19" s="114">
        <f t="shared" si="12"/>
        <v>0</v>
      </c>
      <c r="M19" s="116">
        <f t="shared" si="13"/>
        <v>0</v>
      </c>
      <c r="N19" s="114"/>
      <c r="O19" s="116">
        <f t="shared" si="14"/>
        <v>0</v>
      </c>
      <c r="P19" s="114"/>
      <c r="Q19" s="116">
        <f t="shared" si="15"/>
        <v>0</v>
      </c>
      <c r="R19" s="114"/>
      <c r="S19" s="116">
        <f t="shared" si="16"/>
        <v>0</v>
      </c>
      <c r="T19" s="114"/>
      <c r="U19" s="116">
        <f t="shared" si="17"/>
        <v>0</v>
      </c>
      <c r="V19" s="117"/>
      <c r="W19" s="118">
        <f t="shared" si="18"/>
        <v>0</v>
      </c>
      <c r="Z19" s="142" t="str">
        <f>'[1]Verification of Boxes'!J15</f>
        <v xml:space="preserve">Mc Callion, Stephen </v>
      </c>
      <c r="AA19" s="143">
        <f t="shared" si="23"/>
        <v>734.7</v>
      </c>
      <c r="AB19" s="54"/>
      <c r="AC19" s="52">
        <f t="shared" si="19"/>
        <v>-459.29999999999995</v>
      </c>
      <c r="AD19" s="144"/>
      <c r="AE19" s="54" t="str">
        <f t="shared" si="22"/>
        <v>continuing</v>
      </c>
      <c r="AF19" s="54">
        <f t="shared" si="20"/>
        <v>0</v>
      </c>
      <c r="AG19" s="145">
        <f t="shared" si="21"/>
        <v>0</v>
      </c>
      <c r="AJ19" s="147"/>
      <c r="AK19" s="148"/>
      <c r="AL19" s="148"/>
      <c r="AM19" s="148"/>
      <c r="AN19" s="149"/>
      <c r="AO19" s="148"/>
      <c r="AP19" s="148"/>
      <c r="AQ19" s="148"/>
      <c r="AR19" s="150"/>
      <c r="AZ19" t="s">
        <v>85</v>
      </c>
      <c r="BA19" s="14" t="s">
        <v>86</v>
      </c>
      <c r="BB19" s="14"/>
      <c r="BC19" s="122">
        <f>BC18*BC14</f>
        <v>0</v>
      </c>
      <c r="BE19" s="50">
        <f>'[1]Verification of Boxes'!J24</f>
        <v>0</v>
      </c>
      <c r="BF19" s="51"/>
      <c r="BG19" s="52">
        <f t="shared" si="0"/>
        <v>0</v>
      </c>
      <c r="BH19" s="53"/>
      <c r="BI19" s="54">
        <f t="shared" si="1"/>
        <v>0</v>
      </c>
      <c r="BJ19" s="54">
        <f t="shared" si="2"/>
        <v>0</v>
      </c>
      <c r="BM19" s="14"/>
      <c r="BN19" s="54">
        <f t="shared" si="11"/>
        <v>0</v>
      </c>
      <c r="BO19" s="49">
        <f t="shared" si="3"/>
        <v>0</v>
      </c>
      <c r="BP19" s="94"/>
      <c r="BR19" s="95">
        <f>'[1]Verification of Boxes'!J21</f>
        <v>0</v>
      </c>
      <c r="BS19" s="51"/>
      <c r="BT19" s="54">
        <f t="shared" si="4"/>
        <v>0</v>
      </c>
      <c r="BU19" s="51"/>
      <c r="BV19" s="54">
        <f t="shared" si="5"/>
        <v>0</v>
      </c>
      <c r="BW19" s="51"/>
      <c r="BX19" s="54">
        <f t="shared" si="6"/>
        <v>0</v>
      </c>
      <c r="BY19" s="51"/>
      <c r="BZ19" s="54">
        <f t="shared" si="7"/>
        <v>0</v>
      </c>
      <c r="CA19" s="51"/>
      <c r="CB19" s="54">
        <f t="shared" si="8"/>
        <v>0</v>
      </c>
      <c r="CC19" s="51"/>
      <c r="CD19" s="54">
        <f t="shared" si="9"/>
        <v>0</v>
      </c>
      <c r="CE19" s="54">
        <f t="shared" si="10"/>
        <v>0</v>
      </c>
    </row>
    <row r="20" spans="1:83" ht="15" customHeight="1" thickBot="1" x14ac:dyDescent="0.25">
      <c r="A20" s="119">
        <f>IF('[1]Stage 4'!A20&lt;&gt;0,'[1]Stage 4'!A20,IF(M20&gt;=$M$3,"Elected",IF(BP17&lt;&gt;0,"Excluded",0)))</f>
        <v>0</v>
      </c>
      <c r="B20" s="111">
        <f>'[1]Stage 4'!B20</f>
        <v>0</v>
      </c>
      <c r="C20" s="120">
        <f>'[1]Verification of Boxes'!J19</f>
        <v>0</v>
      </c>
      <c r="D20" s="119">
        <f>'[1]Verification of Boxes'!K19</f>
        <v>0</v>
      </c>
      <c r="E20" s="121">
        <f>'[1]Verification of Boxes'!L19</f>
        <v>0</v>
      </c>
      <c r="F20" s="114">
        <f>'[1]Stage 2'!F20</f>
        <v>0</v>
      </c>
      <c r="G20" s="115">
        <f>'[1]Stage 2'!G20</f>
        <v>0</v>
      </c>
      <c r="H20" s="114">
        <f>'[1]Stage 3'!H20</f>
        <v>0</v>
      </c>
      <c r="I20" s="115">
        <f>'[1]Stage 3'!I20</f>
        <v>0</v>
      </c>
      <c r="J20" s="114">
        <f>'[1]Stage 4'!J20</f>
        <v>0</v>
      </c>
      <c r="K20" s="115">
        <f>'[1]Stage 4'!K20</f>
        <v>0</v>
      </c>
      <c r="L20" s="114">
        <f t="shared" si="12"/>
        <v>0</v>
      </c>
      <c r="M20" s="116">
        <f t="shared" si="13"/>
        <v>0</v>
      </c>
      <c r="N20" s="114"/>
      <c r="O20" s="116">
        <f t="shared" si="14"/>
        <v>0</v>
      </c>
      <c r="P20" s="114"/>
      <c r="Q20" s="116">
        <f t="shared" si="15"/>
        <v>0</v>
      </c>
      <c r="R20" s="114"/>
      <c r="S20" s="116">
        <f t="shared" si="16"/>
        <v>0</v>
      </c>
      <c r="T20" s="114"/>
      <c r="U20" s="116">
        <f t="shared" si="17"/>
        <v>0</v>
      </c>
      <c r="V20" s="117"/>
      <c r="W20" s="118">
        <f t="shared" si="18"/>
        <v>0</v>
      </c>
      <c r="Z20" s="142" t="str">
        <f>'[1]Verification of Boxes'!J16</f>
        <v xml:space="preserve">McCloskey, Danny </v>
      </c>
      <c r="AA20" s="143">
        <f t="shared" si="23"/>
        <v>0</v>
      </c>
      <c r="AB20" s="54"/>
      <c r="AC20" s="52">
        <f t="shared" si="19"/>
        <v>0</v>
      </c>
      <c r="AD20" s="144"/>
      <c r="AE20" s="54" t="str">
        <f t="shared" si="22"/>
        <v>excluded</v>
      </c>
      <c r="AF20" s="54">
        <f t="shared" si="20"/>
        <v>0</v>
      </c>
      <c r="AG20" s="145">
        <f t="shared" si="21"/>
        <v>0</v>
      </c>
      <c r="AJ20" s="151" t="s">
        <v>87</v>
      </c>
      <c r="AK20" s="152"/>
      <c r="AL20" s="153">
        <f>AL46</f>
        <v>493.5</v>
      </c>
      <c r="AM20" s="85"/>
      <c r="AN20" s="153">
        <f>AL20+AG2</f>
        <v>493.5</v>
      </c>
      <c r="AO20" s="154" t="str">
        <f>IF(AN20&gt;AG4,0,IF(AN20&lt;AL21,"Exclude lowest candidate",0))</f>
        <v>Exclude lowest candidate</v>
      </c>
      <c r="AP20" s="155"/>
      <c r="AQ20" s="156">
        <f>IF(AN20&gt;AG4,0,IF(AT20=1,"Exclude 1",0))</f>
        <v>0</v>
      </c>
      <c r="AR20" s="85">
        <f>IF(AN20&gt;AG$4,0,IF(AM21&gt;AN20,"Exclude lowest",0))</f>
        <v>0</v>
      </c>
      <c r="AT20" s="157"/>
      <c r="AU20" s="158"/>
      <c r="AV20" s="158"/>
      <c r="AW20" s="159"/>
      <c r="BA20" s="14"/>
      <c r="BB20" s="14"/>
      <c r="BE20" s="50">
        <f>'[1]Verification of Boxes'!J25</f>
        <v>0</v>
      </c>
      <c r="BF20" s="51"/>
      <c r="BG20" s="52">
        <f t="shared" si="0"/>
        <v>0</v>
      </c>
      <c r="BH20" s="53"/>
      <c r="BI20" s="54">
        <f t="shared" si="1"/>
        <v>0</v>
      </c>
      <c r="BJ20" s="54">
        <f t="shared" si="2"/>
        <v>0</v>
      </c>
      <c r="BM20" s="14"/>
      <c r="BN20" s="54">
        <f t="shared" si="11"/>
        <v>0</v>
      </c>
      <c r="BO20" s="49">
        <f t="shared" si="3"/>
        <v>0</v>
      </c>
      <c r="BP20" s="94"/>
      <c r="BR20" s="95">
        <f>'[1]Verification of Boxes'!J22</f>
        <v>0</v>
      </c>
      <c r="BS20" s="51"/>
      <c r="BT20" s="54">
        <f t="shared" si="4"/>
        <v>0</v>
      </c>
      <c r="BU20" s="51"/>
      <c r="BV20" s="54">
        <f t="shared" si="5"/>
        <v>0</v>
      </c>
      <c r="BW20" s="51"/>
      <c r="BX20" s="54">
        <f t="shared" si="6"/>
        <v>0</v>
      </c>
      <c r="BY20" s="51"/>
      <c r="BZ20" s="54">
        <f t="shared" si="7"/>
        <v>0</v>
      </c>
      <c r="CA20" s="51"/>
      <c r="CB20" s="54">
        <f t="shared" si="8"/>
        <v>0</v>
      </c>
      <c r="CC20" s="51"/>
      <c r="CD20" s="54">
        <f t="shared" si="9"/>
        <v>0</v>
      </c>
      <c r="CE20" s="54">
        <f t="shared" si="10"/>
        <v>0</v>
      </c>
    </row>
    <row r="21" spans="1:83" ht="15" customHeight="1" thickBot="1" x14ac:dyDescent="0.25">
      <c r="A21" s="119">
        <f>IF('[1]Stage 4'!A21&lt;&gt;0,'[1]Stage 4'!A21,IF(M21&gt;=$M$3,"Elected",IF(BP18&lt;&gt;0,"Excluded",0)))</f>
        <v>0</v>
      </c>
      <c r="B21" s="111">
        <f>'[1]Stage 4'!B21</f>
        <v>0</v>
      </c>
      <c r="C21" s="120">
        <f>'[1]Verification of Boxes'!J20</f>
        <v>0</v>
      </c>
      <c r="D21" s="119">
        <f>'[1]Verification of Boxes'!K20</f>
        <v>0</v>
      </c>
      <c r="E21" s="121">
        <f>'[1]Verification of Boxes'!L20</f>
        <v>0</v>
      </c>
      <c r="F21" s="114">
        <f>'[1]Stage 2'!F21</f>
        <v>0</v>
      </c>
      <c r="G21" s="115">
        <f>'[1]Stage 2'!G21</f>
        <v>0</v>
      </c>
      <c r="H21" s="114">
        <f>'[1]Stage 3'!H21</f>
        <v>0</v>
      </c>
      <c r="I21" s="115">
        <f>'[1]Stage 3'!I21</f>
        <v>0</v>
      </c>
      <c r="J21" s="114">
        <f>'[1]Stage 4'!J21</f>
        <v>0</v>
      </c>
      <c r="K21" s="115">
        <f>'[1]Stage 4'!K21</f>
        <v>0</v>
      </c>
      <c r="L21" s="114">
        <f t="shared" si="12"/>
        <v>0</v>
      </c>
      <c r="M21" s="116">
        <f t="shared" si="13"/>
        <v>0</v>
      </c>
      <c r="N21" s="114"/>
      <c r="O21" s="116">
        <f t="shared" si="14"/>
        <v>0</v>
      </c>
      <c r="P21" s="114"/>
      <c r="Q21" s="116">
        <f t="shared" si="15"/>
        <v>0</v>
      </c>
      <c r="R21" s="114"/>
      <c r="S21" s="116">
        <f t="shared" si="16"/>
        <v>0</v>
      </c>
      <c r="T21" s="114"/>
      <c r="U21" s="116">
        <f t="shared" si="17"/>
        <v>0</v>
      </c>
      <c r="V21" s="117"/>
      <c r="W21" s="118">
        <f t="shared" si="18"/>
        <v>0</v>
      </c>
      <c r="Z21" s="142" t="str">
        <f>'[1]Verification of Boxes'!J17</f>
        <v xml:space="preserve">Uí Niallais, Grace </v>
      </c>
      <c r="AA21" s="143">
        <f t="shared" si="23"/>
        <v>1194</v>
      </c>
      <c r="AB21" s="54"/>
      <c r="AC21" s="52">
        <f t="shared" si="19"/>
        <v>0</v>
      </c>
      <c r="AD21" s="144"/>
      <c r="AE21" s="54" t="str">
        <f t="shared" si="22"/>
        <v>elected</v>
      </c>
      <c r="AF21" s="54">
        <f t="shared" si="20"/>
        <v>0</v>
      </c>
      <c r="AG21" s="145">
        <f t="shared" si="21"/>
        <v>0</v>
      </c>
      <c r="AJ21" s="160" t="s">
        <v>88</v>
      </c>
      <c r="AK21" s="161"/>
      <c r="AL21" s="143">
        <f>IF(AL20=1000000,0,AN46)</f>
        <v>734.7</v>
      </c>
      <c r="AM21" s="54">
        <f>AL21-AL20</f>
        <v>241.20000000000005</v>
      </c>
      <c r="AN21" s="54">
        <f>IF(AL21=1000000,0,IF(AN20=0,0,AN20+AL21))</f>
        <v>1228.2</v>
      </c>
      <c r="AO21" s="162">
        <f>IF(AN21&gt;AG4,0,IF(AV20&lt;&gt;0,0,IF(AN21&lt;AL22,"Exclude lowest 2 candidates",0)))</f>
        <v>0</v>
      </c>
      <c r="AP21" s="163"/>
      <c r="AQ21" s="164">
        <f>IF(AN21&gt;AG4,0,IF(AT21=2,"Exclude 2",0))</f>
        <v>0</v>
      </c>
      <c r="AR21" s="54">
        <f>IF(AN21&gt;AG$4,0,IF(AM22&gt;AN21,"Exclude - Consider Question 2",0))</f>
        <v>0</v>
      </c>
      <c r="AT21" s="165"/>
      <c r="AW21" s="166"/>
      <c r="AZ21" t="s">
        <v>89</v>
      </c>
      <c r="BA21" s="14"/>
      <c r="BB21" s="14"/>
      <c r="BE21" s="50">
        <f>'[1]Verification of Boxes'!J26</f>
        <v>0</v>
      </c>
      <c r="BF21" s="51"/>
      <c r="BG21" s="52">
        <f t="shared" si="0"/>
        <v>0</v>
      </c>
      <c r="BH21" s="53"/>
      <c r="BI21" s="54">
        <f t="shared" si="1"/>
        <v>0</v>
      </c>
      <c r="BJ21" s="54">
        <f t="shared" si="2"/>
        <v>0</v>
      </c>
      <c r="BM21" s="14"/>
      <c r="BN21" s="54">
        <f t="shared" si="11"/>
        <v>0</v>
      </c>
      <c r="BO21" s="49">
        <f t="shared" si="3"/>
        <v>0</v>
      </c>
      <c r="BP21" s="94"/>
      <c r="BR21" s="95">
        <f>'[1]Verification of Boxes'!J23</f>
        <v>0</v>
      </c>
      <c r="BS21" s="51"/>
      <c r="BT21" s="54">
        <f t="shared" si="4"/>
        <v>0</v>
      </c>
      <c r="BU21" s="51"/>
      <c r="BV21" s="54">
        <f t="shared" si="5"/>
        <v>0</v>
      </c>
      <c r="BW21" s="51"/>
      <c r="BX21" s="54">
        <f t="shared" si="6"/>
        <v>0</v>
      </c>
      <c r="BY21" s="51"/>
      <c r="BZ21" s="54">
        <f t="shared" si="7"/>
        <v>0</v>
      </c>
      <c r="CA21" s="51"/>
      <c r="CB21" s="54">
        <f t="shared" si="8"/>
        <v>0</v>
      </c>
      <c r="CC21" s="51"/>
      <c r="CD21" s="54">
        <f t="shared" si="9"/>
        <v>0</v>
      </c>
      <c r="CE21" s="54">
        <f t="shared" si="10"/>
        <v>0</v>
      </c>
    </row>
    <row r="22" spans="1:83" ht="15" customHeight="1" thickBot="1" x14ac:dyDescent="0.25">
      <c r="A22" s="119">
        <f>IF('[1]Stage 4'!A22&lt;&gt;0,'[1]Stage 4'!A22,IF(M22&gt;=$M$3,"Elected",IF(BP19&lt;&gt;0,"Excluded",0)))</f>
        <v>0</v>
      </c>
      <c r="B22" s="111">
        <f>'[1]Stage 4'!B22</f>
        <v>0</v>
      </c>
      <c r="C22" s="120">
        <f>'[1]Verification of Boxes'!J21</f>
        <v>0</v>
      </c>
      <c r="D22" s="119">
        <f>'[1]Verification of Boxes'!K21</f>
        <v>0</v>
      </c>
      <c r="E22" s="121">
        <f>'[1]Verification of Boxes'!L21</f>
        <v>0</v>
      </c>
      <c r="F22" s="114">
        <f>'[1]Stage 2'!F22</f>
        <v>0</v>
      </c>
      <c r="G22" s="115">
        <f>'[1]Stage 2'!G22</f>
        <v>0</v>
      </c>
      <c r="H22" s="114">
        <f>'[1]Stage 3'!H22</f>
        <v>0</v>
      </c>
      <c r="I22" s="115">
        <f>'[1]Stage 3'!I22</f>
        <v>0</v>
      </c>
      <c r="J22" s="114">
        <f>'[1]Stage 4'!J22</f>
        <v>0</v>
      </c>
      <c r="K22" s="115">
        <f>'[1]Stage 4'!K22</f>
        <v>0</v>
      </c>
      <c r="L22" s="114">
        <f t="shared" si="12"/>
        <v>0</v>
      </c>
      <c r="M22" s="116">
        <f t="shared" si="13"/>
        <v>0</v>
      </c>
      <c r="N22" s="114"/>
      <c r="O22" s="116">
        <f t="shared" si="14"/>
        <v>0</v>
      </c>
      <c r="P22" s="114"/>
      <c r="Q22" s="116">
        <f t="shared" si="15"/>
        <v>0</v>
      </c>
      <c r="R22" s="114"/>
      <c r="S22" s="116">
        <f t="shared" si="16"/>
        <v>0</v>
      </c>
      <c r="T22" s="114"/>
      <c r="U22" s="116">
        <f t="shared" si="17"/>
        <v>0</v>
      </c>
      <c r="V22" s="117"/>
      <c r="W22" s="118">
        <f t="shared" si="18"/>
        <v>0</v>
      </c>
      <c r="Z22" s="142">
        <f>'[1]Verification of Boxes'!J18</f>
        <v>0</v>
      </c>
      <c r="AA22" s="143">
        <f t="shared" si="23"/>
        <v>0</v>
      </c>
      <c r="AB22" s="54"/>
      <c r="AC22" s="52">
        <f t="shared" si="19"/>
        <v>0</v>
      </c>
      <c r="AD22" s="144"/>
      <c r="AE22" s="54">
        <f t="shared" si="22"/>
        <v>0</v>
      </c>
      <c r="AF22" s="54">
        <f t="shared" si="20"/>
        <v>0</v>
      </c>
      <c r="AG22" s="145">
        <f t="shared" si="21"/>
        <v>0</v>
      </c>
      <c r="AJ22" s="160" t="s">
        <v>88</v>
      </c>
      <c r="AK22" s="161"/>
      <c r="AL22" s="143">
        <f>IF(AL21=1000000,0,AP46)</f>
        <v>1130.3000000000002</v>
      </c>
      <c r="AM22" s="54">
        <f>IF(AL22=1000000,0,IF(AM21=0,0,AL22-AL21))</f>
        <v>395.60000000000014</v>
      </c>
      <c r="AN22" s="54">
        <f>IF(AL22=1000000,0,IF(AN21=0,0,AN21+AL22))</f>
        <v>2358.5</v>
      </c>
      <c r="AO22" s="162">
        <f>IF(AN22&gt;AG4,0,IF(AV21&lt;&gt;0,0,IF(AN22&lt;AL23,"Exclude lowest 3 candidates",0)))</f>
        <v>0</v>
      </c>
      <c r="AP22" s="163"/>
      <c r="AQ22" s="164">
        <f>IF(AN22&gt;AG4,0,IF(AT22=3,"Exclude 3",0))</f>
        <v>0</v>
      </c>
      <c r="AR22" s="54">
        <f>IF(AN22&gt;AG$4,0,IF(AM23&gt;AN22,"Exclude - Consider Question 2",0))</f>
        <v>0</v>
      </c>
      <c r="AT22" s="165"/>
      <c r="AW22" s="166"/>
      <c r="AZ22" s="167" t="s">
        <v>90</v>
      </c>
      <c r="BA22" s="14"/>
      <c r="BB22" s="14"/>
      <c r="BE22" s="50">
        <f>'[1]Verification of Boxes'!J27</f>
        <v>0</v>
      </c>
      <c r="BF22" s="51"/>
      <c r="BG22" s="52">
        <f t="shared" si="0"/>
        <v>0</v>
      </c>
      <c r="BH22" s="53"/>
      <c r="BI22" s="54">
        <f t="shared" si="1"/>
        <v>0</v>
      </c>
      <c r="BJ22" s="54">
        <f t="shared" si="2"/>
        <v>0</v>
      </c>
      <c r="BM22" s="14"/>
      <c r="BN22" s="54">
        <f t="shared" si="11"/>
        <v>0</v>
      </c>
      <c r="BO22" s="49">
        <f t="shared" si="3"/>
        <v>0</v>
      </c>
      <c r="BP22" s="94"/>
      <c r="BR22" s="95">
        <f>'[1]Verification of Boxes'!J24</f>
        <v>0</v>
      </c>
      <c r="BS22" s="51"/>
      <c r="BT22" s="54">
        <f t="shared" si="4"/>
        <v>0</v>
      </c>
      <c r="BU22" s="51"/>
      <c r="BV22" s="54">
        <f t="shared" si="5"/>
        <v>0</v>
      </c>
      <c r="BW22" s="51"/>
      <c r="BX22" s="54">
        <f t="shared" si="6"/>
        <v>0</v>
      </c>
      <c r="BY22" s="51"/>
      <c r="BZ22" s="54">
        <f t="shared" si="7"/>
        <v>0</v>
      </c>
      <c r="CA22" s="51"/>
      <c r="CB22" s="54">
        <f t="shared" si="8"/>
        <v>0</v>
      </c>
      <c r="CC22" s="51"/>
      <c r="CD22" s="54">
        <f t="shared" si="9"/>
        <v>0</v>
      </c>
      <c r="CE22" s="54">
        <f t="shared" si="10"/>
        <v>0</v>
      </c>
    </row>
    <row r="23" spans="1:83" ht="15" customHeight="1" thickBot="1" x14ac:dyDescent="0.25">
      <c r="A23" s="119">
        <f>IF('[1]Stage 4'!A23&lt;&gt;0,'[1]Stage 4'!A23,IF(M23&gt;=$M$3,"Elected",IF(BP20&lt;&gt;0,"Excluded",0)))</f>
        <v>0</v>
      </c>
      <c r="B23" s="111">
        <f>'[1]Stage 4'!B23</f>
        <v>0</v>
      </c>
      <c r="C23" s="120">
        <f>'[1]Verification of Boxes'!J22</f>
        <v>0</v>
      </c>
      <c r="D23" s="119">
        <f>'[1]Verification of Boxes'!K22</f>
        <v>0</v>
      </c>
      <c r="E23" s="121">
        <f>'[1]Verification of Boxes'!L22</f>
        <v>0</v>
      </c>
      <c r="F23" s="114">
        <f>'[1]Stage 2'!F23</f>
        <v>0</v>
      </c>
      <c r="G23" s="115">
        <f>'[1]Stage 2'!G23</f>
        <v>0</v>
      </c>
      <c r="H23" s="114">
        <f>'[1]Stage 3'!H23</f>
        <v>0</v>
      </c>
      <c r="I23" s="115">
        <f>'[1]Stage 3'!I23</f>
        <v>0</v>
      </c>
      <c r="J23" s="114">
        <f>'[1]Stage 4'!J23</f>
        <v>0</v>
      </c>
      <c r="K23" s="115">
        <f>'[1]Stage 4'!K23</f>
        <v>0</v>
      </c>
      <c r="L23" s="114">
        <f t="shared" si="12"/>
        <v>0</v>
      </c>
      <c r="M23" s="116">
        <f t="shared" si="13"/>
        <v>0</v>
      </c>
      <c r="N23" s="114"/>
      <c r="O23" s="116">
        <f t="shared" si="14"/>
        <v>0</v>
      </c>
      <c r="P23" s="114"/>
      <c r="Q23" s="116">
        <f t="shared" si="15"/>
        <v>0</v>
      </c>
      <c r="R23" s="114"/>
      <c r="S23" s="116">
        <f t="shared" si="16"/>
        <v>0</v>
      </c>
      <c r="T23" s="114"/>
      <c r="U23" s="116">
        <f t="shared" si="17"/>
        <v>0</v>
      </c>
      <c r="V23" s="117"/>
      <c r="W23" s="118">
        <f t="shared" si="18"/>
        <v>0</v>
      </c>
      <c r="Z23" s="142">
        <f>'[1]Verification of Boxes'!J19</f>
        <v>0</v>
      </c>
      <c r="AA23" s="143">
        <f t="shared" si="23"/>
        <v>0</v>
      </c>
      <c r="AB23" s="54"/>
      <c r="AC23" s="52">
        <f t="shared" si="19"/>
        <v>0</v>
      </c>
      <c r="AD23" s="144"/>
      <c r="AE23" s="54">
        <f t="shared" si="22"/>
        <v>0</v>
      </c>
      <c r="AF23" s="54">
        <f t="shared" si="20"/>
        <v>0</v>
      </c>
      <c r="AG23" s="145">
        <f t="shared" si="21"/>
        <v>0</v>
      </c>
      <c r="AJ23" s="160" t="s">
        <v>88</v>
      </c>
      <c r="AK23" s="161"/>
      <c r="AL23" s="143">
        <f>IF(AL22=1000000,0,AR46)</f>
        <v>1131.3499999999999</v>
      </c>
      <c r="AM23" s="54">
        <f>IF(AL23=1000000,0,IF(AM22=0,0,AL23-AL22))</f>
        <v>1.0499999999997272</v>
      </c>
      <c r="AN23" s="54">
        <f>IF(AL23=1000000,0,IF(AN22=0,0,AN22+AL23))</f>
        <v>3489.85</v>
      </c>
      <c r="AO23" s="162">
        <f>IF(AN23&gt;AG4,0,IF(AV22&lt;&gt;0,0,IF(AN23&lt;AL24,"Exclude lowest 4 candidates",0)))</f>
        <v>0</v>
      </c>
      <c r="AP23" s="163"/>
      <c r="AQ23" s="164">
        <f>IF(AN23&gt;AG4,0,IF(AT23=4,"Exclude 4",0))</f>
        <v>0</v>
      </c>
      <c r="AR23" s="54">
        <f>IF(AN23&gt;AG$4,0,IF(AM24&gt;AN23,"Exclude - Consider Question 2",0))</f>
        <v>0</v>
      </c>
      <c r="AT23" s="165"/>
      <c r="AW23" s="166"/>
      <c r="AZ23" s="167"/>
      <c r="BA23" s="14" t="s">
        <v>91</v>
      </c>
      <c r="BB23" s="14"/>
      <c r="BC23" s="168">
        <f>IF(BC19&gt;BC12,TRUNC((BC12/BC18),2),0)</f>
        <v>0</v>
      </c>
      <c r="BE23" s="50">
        <f>'[1]Verification of Boxes'!J28</f>
        <v>0</v>
      </c>
      <c r="BF23" s="51"/>
      <c r="BG23" s="52">
        <f t="shared" si="0"/>
        <v>0</v>
      </c>
      <c r="BH23" s="53"/>
      <c r="BI23" s="54">
        <f t="shared" si="1"/>
        <v>0</v>
      </c>
      <c r="BJ23" s="54">
        <f t="shared" si="2"/>
        <v>0</v>
      </c>
      <c r="BM23" s="14"/>
      <c r="BN23" s="54">
        <f t="shared" si="11"/>
        <v>0</v>
      </c>
      <c r="BO23" s="49">
        <f t="shared" si="3"/>
        <v>0</v>
      </c>
      <c r="BP23" s="94"/>
      <c r="BR23" s="95">
        <f>'[1]Verification of Boxes'!J25</f>
        <v>0</v>
      </c>
      <c r="BS23" s="51"/>
      <c r="BT23" s="54">
        <f t="shared" si="4"/>
        <v>0</v>
      </c>
      <c r="BU23" s="51"/>
      <c r="BV23" s="54">
        <f t="shared" si="5"/>
        <v>0</v>
      </c>
      <c r="BW23" s="51"/>
      <c r="BX23" s="54">
        <f t="shared" si="6"/>
        <v>0</v>
      </c>
      <c r="BY23" s="51"/>
      <c r="BZ23" s="54">
        <f t="shared" si="7"/>
        <v>0</v>
      </c>
      <c r="CA23" s="51"/>
      <c r="CB23" s="54">
        <f t="shared" si="8"/>
        <v>0</v>
      </c>
      <c r="CC23" s="51"/>
      <c r="CD23" s="54">
        <f t="shared" si="9"/>
        <v>0</v>
      </c>
      <c r="CE23" s="54">
        <f t="shared" si="10"/>
        <v>0</v>
      </c>
    </row>
    <row r="24" spans="1:83" ht="15" customHeight="1" thickBot="1" x14ac:dyDescent="0.25">
      <c r="A24" s="119">
        <f>IF('[1]Stage 4'!A24&lt;&gt;0,'[1]Stage 4'!A24,IF(M24&gt;=$M$3,"Elected",IF(BP21&lt;&gt;0,"Excluded",0)))</f>
        <v>0</v>
      </c>
      <c r="B24" s="111">
        <f>'[1]Stage 4'!B24</f>
        <v>0</v>
      </c>
      <c r="C24" s="120">
        <f>'[1]Verification of Boxes'!J23</f>
        <v>0</v>
      </c>
      <c r="D24" s="119">
        <f>'[1]Verification of Boxes'!K23</f>
        <v>0</v>
      </c>
      <c r="E24" s="121">
        <f>'[1]Verification of Boxes'!L23</f>
        <v>0</v>
      </c>
      <c r="F24" s="114">
        <f>'[1]Stage 2'!F24</f>
        <v>0</v>
      </c>
      <c r="G24" s="115">
        <f>'[1]Stage 2'!G24</f>
        <v>0</v>
      </c>
      <c r="H24" s="114">
        <f>'[1]Stage 3'!H24</f>
        <v>0</v>
      </c>
      <c r="I24" s="115">
        <f>'[1]Stage 3'!I24</f>
        <v>0</v>
      </c>
      <c r="J24" s="114">
        <f>'[1]Stage 4'!J24</f>
        <v>0</v>
      </c>
      <c r="K24" s="115">
        <f>'[1]Stage 4'!K24</f>
        <v>0</v>
      </c>
      <c r="L24" s="114">
        <f t="shared" si="12"/>
        <v>0</v>
      </c>
      <c r="M24" s="116">
        <f t="shared" si="13"/>
        <v>0</v>
      </c>
      <c r="N24" s="114"/>
      <c r="O24" s="116">
        <f t="shared" si="14"/>
        <v>0</v>
      </c>
      <c r="P24" s="114"/>
      <c r="Q24" s="116">
        <f t="shared" si="15"/>
        <v>0</v>
      </c>
      <c r="R24" s="114"/>
      <c r="S24" s="116">
        <f t="shared" si="16"/>
        <v>0</v>
      </c>
      <c r="T24" s="114"/>
      <c r="U24" s="116">
        <f t="shared" si="17"/>
        <v>0</v>
      </c>
      <c r="V24" s="117"/>
      <c r="W24" s="118">
        <f t="shared" si="18"/>
        <v>0</v>
      </c>
      <c r="Z24" s="142">
        <f>'[1]Verification of Boxes'!J20</f>
        <v>0</v>
      </c>
      <c r="AA24" s="143">
        <f t="shared" si="23"/>
        <v>0</v>
      </c>
      <c r="AB24" s="54"/>
      <c r="AC24" s="52">
        <f t="shared" si="19"/>
        <v>0</v>
      </c>
      <c r="AD24" s="144"/>
      <c r="AE24" s="54">
        <f t="shared" si="22"/>
        <v>0</v>
      </c>
      <c r="AF24" s="54">
        <f t="shared" si="20"/>
        <v>0</v>
      </c>
      <c r="AG24" s="145">
        <f t="shared" si="21"/>
        <v>0</v>
      </c>
      <c r="AJ24" s="160" t="s">
        <v>88</v>
      </c>
      <c r="AK24" s="161"/>
      <c r="AL24" s="143">
        <f>IF(AR46=1000000,0,AU46)</f>
        <v>1140.1500000000001</v>
      </c>
      <c r="AM24" s="54">
        <f>IF(AL24=1000000,0,IF(AM23=0,0,AL24-AL23))</f>
        <v>8.8000000000001819</v>
      </c>
      <c r="AN24" s="54">
        <f>IF(AL24=1000000,0,IF(AN23=0,0,AN23+AL24))</f>
        <v>4630</v>
      </c>
      <c r="AO24" s="162">
        <f>IF(AN24&gt;AG4,0,IF(AV23&lt;&gt;0,0,IF(AN24&lt;AL25,"Exclude lowest 5 candidates",0)))</f>
        <v>0</v>
      </c>
      <c r="AP24" s="163"/>
      <c r="AQ24" s="164">
        <f>IF(AN24&gt;AG4,0,IF(AT24=5,"Exclude 5",0))</f>
        <v>0</v>
      </c>
      <c r="AR24" s="54">
        <f>IF(AN24&gt;AG$4,0,IF(AM25&gt;AN24,"Exclude - Consider Question 2",0))</f>
        <v>0</v>
      </c>
      <c r="AT24" s="165"/>
      <c r="AW24" s="166"/>
      <c r="AZ24" t="s">
        <v>92</v>
      </c>
      <c r="BA24" s="14" t="s">
        <v>93</v>
      </c>
      <c r="BB24" s="14"/>
      <c r="BC24" s="122">
        <f>IF(BC19&gt;BC12,BC18*BC23,0)</f>
        <v>0</v>
      </c>
      <c r="BE24" s="50">
        <f>'[1]Verification of Boxes'!J29</f>
        <v>0</v>
      </c>
      <c r="BF24" s="51"/>
      <c r="BG24" s="52">
        <f t="shared" si="0"/>
        <v>0</v>
      </c>
      <c r="BH24" s="53"/>
      <c r="BI24" s="54">
        <f t="shared" si="1"/>
        <v>0</v>
      </c>
      <c r="BJ24" s="54">
        <f t="shared" si="2"/>
        <v>0</v>
      </c>
      <c r="BM24" s="14"/>
      <c r="BN24" s="54">
        <f t="shared" si="11"/>
        <v>0</v>
      </c>
      <c r="BO24" s="49">
        <f t="shared" si="3"/>
        <v>0</v>
      </c>
      <c r="BP24" s="94"/>
      <c r="BR24" s="95">
        <f>'[1]Verification of Boxes'!J26</f>
        <v>0</v>
      </c>
      <c r="BS24" s="51"/>
      <c r="BT24" s="54">
        <f t="shared" si="4"/>
        <v>0</v>
      </c>
      <c r="BU24" s="51"/>
      <c r="BV24" s="54">
        <f t="shared" si="5"/>
        <v>0</v>
      </c>
      <c r="BW24" s="51"/>
      <c r="BX24" s="54">
        <f t="shared" si="6"/>
        <v>0</v>
      </c>
      <c r="BY24" s="51"/>
      <c r="BZ24" s="54">
        <f t="shared" si="7"/>
        <v>0</v>
      </c>
      <c r="CA24" s="51"/>
      <c r="CB24" s="54">
        <f t="shared" si="8"/>
        <v>0</v>
      </c>
      <c r="CC24" s="51"/>
      <c r="CD24" s="54">
        <f t="shared" si="9"/>
        <v>0</v>
      </c>
      <c r="CE24" s="54">
        <f t="shared" si="10"/>
        <v>0</v>
      </c>
    </row>
    <row r="25" spans="1:83" ht="15" customHeight="1" thickBot="1" x14ac:dyDescent="0.25">
      <c r="A25" s="119">
        <f>IF('[1]Stage 4'!A25&lt;&gt;0,'[1]Stage 4'!A25,IF(M25&gt;=$M$3,"Elected",IF(BP22&lt;&gt;0,"Excluded",0)))</f>
        <v>0</v>
      </c>
      <c r="B25" s="111">
        <f>'[1]Stage 4'!B25</f>
        <v>0</v>
      </c>
      <c r="C25" s="120">
        <f>'[1]Verification of Boxes'!J24</f>
        <v>0</v>
      </c>
      <c r="D25" s="119">
        <f>'[1]Verification of Boxes'!K24</f>
        <v>0</v>
      </c>
      <c r="E25" s="121">
        <f>'[1]Verification of Boxes'!L24</f>
        <v>0</v>
      </c>
      <c r="F25" s="114">
        <f>'[1]Stage 2'!F25</f>
        <v>0</v>
      </c>
      <c r="G25" s="115">
        <f>'[1]Stage 2'!G25</f>
        <v>0</v>
      </c>
      <c r="H25" s="114">
        <f>'[1]Stage 3'!H25</f>
        <v>0</v>
      </c>
      <c r="I25" s="115">
        <f>'[1]Stage 3'!I25</f>
        <v>0</v>
      </c>
      <c r="J25" s="114">
        <f>'[1]Stage 4'!J25</f>
        <v>0</v>
      </c>
      <c r="K25" s="115">
        <f>'[1]Stage 4'!K25</f>
        <v>0</v>
      </c>
      <c r="L25" s="114">
        <f t="shared" si="12"/>
        <v>0</v>
      </c>
      <c r="M25" s="116">
        <f t="shared" si="13"/>
        <v>0</v>
      </c>
      <c r="N25" s="114"/>
      <c r="O25" s="116">
        <f t="shared" si="14"/>
        <v>0</v>
      </c>
      <c r="P25" s="114"/>
      <c r="Q25" s="116">
        <f t="shared" si="15"/>
        <v>0</v>
      </c>
      <c r="R25" s="114"/>
      <c r="S25" s="116">
        <f t="shared" si="16"/>
        <v>0</v>
      </c>
      <c r="T25" s="114"/>
      <c r="U25" s="116">
        <f t="shared" si="17"/>
        <v>0</v>
      </c>
      <c r="V25" s="117"/>
      <c r="W25" s="118">
        <f t="shared" si="18"/>
        <v>0</v>
      </c>
      <c r="Z25" s="142">
        <f>'[1]Verification of Boxes'!J21</f>
        <v>0</v>
      </c>
      <c r="AA25" s="143">
        <f t="shared" si="23"/>
        <v>0</v>
      </c>
      <c r="AB25" s="54"/>
      <c r="AC25" s="52">
        <f t="shared" si="19"/>
        <v>0</v>
      </c>
      <c r="AD25" s="144"/>
      <c r="AE25" s="54">
        <f t="shared" si="22"/>
        <v>0</v>
      </c>
      <c r="AF25" s="54">
        <f t="shared" si="20"/>
        <v>0</v>
      </c>
      <c r="AG25" s="145">
        <f t="shared" si="21"/>
        <v>0</v>
      </c>
      <c r="AJ25" s="169" t="s">
        <v>88</v>
      </c>
      <c r="AK25" s="170"/>
      <c r="AL25" s="171">
        <f>IF(AL24=1000000,0,AW46)</f>
        <v>1194</v>
      </c>
      <c r="AM25" s="172">
        <f>IF(AL25=1000000,0,IF(AM24=0,0,AL25-AL24))</f>
        <v>53.849999999999909</v>
      </c>
      <c r="AN25" s="172">
        <f>IF(AL25=1000000,0,IF(AN24=0,0,AN24+AL25))</f>
        <v>5824</v>
      </c>
      <c r="AO25" s="173">
        <f>IF(AN25&gt;AG4,0,IF(AV24&lt;&gt;0,0,IF(AN25&lt;AL26,"CHECK ! Exclude lowest 6 candidates",0)))</f>
        <v>0</v>
      </c>
      <c r="AP25" s="174"/>
      <c r="AQ25" s="175">
        <f>IF(AN25&gt;AG4,0,IF(AT25=6,"CHECK !",0))</f>
        <v>0</v>
      </c>
      <c r="AR25" s="54">
        <f>IF(AN25&gt;AG$4,0,IF(AM26&gt;AN25,"Exclude - Consider Question 2",0))</f>
        <v>0</v>
      </c>
      <c r="AT25" s="176"/>
      <c r="AU25" s="177"/>
      <c r="AV25" s="177"/>
      <c r="AW25" s="178"/>
      <c r="AZ25" t="s">
        <v>94</v>
      </c>
      <c r="BA25" s="14" t="s">
        <v>95</v>
      </c>
      <c r="BB25" s="14"/>
      <c r="BC25" s="122">
        <f>IF(BC19&gt;BC12,BC12-BC24,0)</f>
        <v>0</v>
      </c>
      <c r="BE25" s="50" t="s">
        <v>96</v>
      </c>
      <c r="BF25" s="54">
        <f>SUM(BF5:BF24)</f>
        <v>0</v>
      </c>
      <c r="BG25" s="52">
        <f>SUM(BG5:BG24)</f>
        <v>0</v>
      </c>
      <c r="BM25" s="14"/>
      <c r="BN25" s="54">
        <f t="shared" si="11"/>
        <v>0</v>
      </c>
      <c r="BO25" s="49">
        <f t="shared" si="3"/>
        <v>0</v>
      </c>
      <c r="BP25" s="94"/>
      <c r="BR25" s="95">
        <f>'[1]Verification of Boxes'!J27</f>
        <v>0</v>
      </c>
      <c r="BS25" s="51"/>
      <c r="BT25" s="54">
        <f t="shared" si="4"/>
        <v>0</v>
      </c>
      <c r="BU25" s="51"/>
      <c r="BV25" s="54">
        <f t="shared" si="5"/>
        <v>0</v>
      </c>
      <c r="BW25" s="51"/>
      <c r="BX25" s="54">
        <f t="shared" si="6"/>
        <v>0</v>
      </c>
      <c r="BY25" s="51"/>
      <c r="BZ25" s="54">
        <f t="shared" si="7"/>
        <v>0</v>
      </c>
      <c r="CA25" s="51"/>
      <c r="CB25" s="54">
        <f t="shared" si="8"/>
        <v>0</v>
      </c>
      <c r="CC25" s="51"/>
      <c r="CD25" s="54">
        <f t="shared" si="9"/>
        <v>0</v>
      </c>
      <c r="CE25" s="54">
        <f t="shared" si="10"/>
        <v>0</v>
      </c>
    </row>
    <row r="26" spans="1:83" ht="15" customHeight="1" thickBot="1" x14ac:dyDescent="0.25">
      <c r="A26" s="119">
        <f>IF('[1]Stage 4'!A26&lt;&gt;0,'[1]Stage 4'!A26,IF(M26&gt;=$M$3,"Elected",IF(BP23&lt;&gt;0,"Excluded",0)))</f>
        <v>0</v>
      </c>
      <c r="B26" s="111">
        <f>'[1]Stage 4'!B26</f>
        <v>0</v>
      </c>
      <c r="C26" s="120">
        <f>'[1]Verification of Boxes'!J25</f>
        <v>0</v>
      </c>
      <c r="D26" s="119">
        <f>'[1]Verification of Boxes'!K25</f>
        <v>0</v>
      </c>
      <c r="E26" s="121">
        <f>'[1]Verification of Boxes'!L25</f>
        <v>0</v>
      </c>
      <c r="F26" s="114">
        <f>'[1]Stage 2'!F26</f>
        <v>0</v>
      </c>
      <c r="G26" s="115">
        <f>'[1]Stage 2'!G26</f>
        <v>0</v>
      </c>
      <c r="H26" s="114">
        <f>'[1]Stage 3'!H26</f>
        <v>0</v>
      </c>
      <c r="I26" s="115">
        <f>'[1]Stage 3'!I26</f>
        <v>0</v>
      </c>
      <c r="J26" s="114">
        <f>'[1]Stage 4'!J26</f>
        <v>0</v>
      </c>
      <c r="K26" s="115">
        <f>'[1]Stage 4'!K26</f>
        <v>0</v>
      </c>
      <c r="L26" s="114">
        <f t="shared" si="12"/>
        <v>0</v>
      </c>
      <c r="M26" s="116">
        <f t="shared" si="13"/>
        <v>0</v>
      </c>
      <c r="N26" s="114"/>
      <c r="O26" s="116">
        <f t="shared" si="14"/>
        <v>0</v>
      </c>
      <c r="P26" s="114"/>
      <c r="Q26" s="116">
        <f t="shared" si="15"/>
        <v>0</v>
      </c>
      <c r="R26" s="114"/>
      <c r="S26" s="116">
        <f t="shared" si="16"/>
        <v>0</v>
      </c>
      <c r="T26" s="114"/>
      <c r="U26" s="116">
        <f t="shared" si="17"/>
        <v>0</v>
      </c>
      <c r="V26" s="117"/>
      <c r="W26" s="118">
        <f t="shared" si="18"/>
        <v>0</v>
      </c>
      <c r="Z26" s="142">
        <f>'[1]Verification of Boxes'!J22</f>
        <v>0</v>
      </c>
      <c r="AA26" s="143">
        <f t="shared" si="23"/>
        <v>0</v>
      </c>
      <c r="AB26" s="54"/>
      <c r="AC26" s="52">
        <f t="shared" si="19"/>
        <v>0</v>
      </c>
      <c r="AD26" s="144"/>
      <c r="AE26" s="54">
        <f t="shared" si="22"/>
        <v>0</v>
      </c>
      <c r="AF26" s="54">
        <f t="shared" si="20"/>
        <v>0</v>
      </c>
      <c r="AG26" s="145">
        <f t="shared" si="21"/>
        <v>0</v>
      </c>
      <c r="AT26" s="85"/>
      <c r="AU26" s="85"/>
      <c r="AV26" s="85">
        <f>SUM(AV27:AV32)</f>
        <v>6</v>
      </c>
      <c r="AW26" s="85"/>
      <c r="BA26" s="14"/>
      <c r="BB26" s="14"/>
      <c r="BC26" s="146"/>
      <c r="BE26" s="50" t="s">
        <v>97</v>
      </c>
      <c r="BF26" s="51"/>
      <c r="BG26" s="52">
        <f>IF(AT5="T",BC25+BC31,0)</f>
        <v>0</v>
      </c>
      <c r="BM26" s="14"/>
      <c r="BN26" s="54">
        <f t="shared" si="11"/>
        <v>0</v>
      </c>
      <c r="BO26" s="49">
        <f t="shared" si="3"/>
        <v>0</v>
      </c>
      <c r="BP26" s="94"/>
      <c r="BR26" s="95">
        <f>'[1]Verification of Boxes'!J28</f>
        <v>0</v>
      </c>
      <c r="BS26" s="51"/>
      <c r="BT26" s="54">
        <f t="shared" si="4"/>
        <v>0</v>
      </c>
      <c r="BU26" s="51"/>
      <c r="BV26" s="54">
        <f t="shared" si="5"/>
        <v>0</v>
      </c>
      <c r="BW26" s="51"/>
      <c r="BX26" s="54">
        <f t="shared" si="6"/>
        <v>0</v>
      </c>
      <c r="BY26" s="51"/>
      <c r="BZ26" s="54">
        <f t="shared" si="7"/>
        <v>0</v>
      </c>
      <c r="CA26" s="51"/>
      <c r="CB26" s="54">
        <f t="shared" si="8"/>
        <v>0</v>
      </c>
      <c r="CC26" s="51"/>
      <c r="CD26" s="54">
        <f t="shared" si="9"/>
        <v>0</v>
      </c>
      <c r="CE26" s="54">
        <f t="shared" si="10"/>
        <v>0</v>
      </c>
    </row>
    <row r="27" spans="1:83" ht="13.5" thickBot="1" x14ac:dyDescent="0.25">
      <c r="A27" s="119">
        <f>IF('[1]Stage 4'!A27&lt;&gt;0,'[1]Stage 4'!A27,IF(M27&gt;=$M$3,"Elected",IF(BP24&lt;&gt;0,"Excluded",0)))</f>
        <v>0</v>
      </c>
      <c r="B27" s="111">
        <f>'[1]Stage 4'!B27</f>
        <v>0</v>
      </c>
      <c r="C27" s="120">
        <f>'[1]Verification of Boxes'!J26</f>
        <v>0</v>
      </c>
      <c r="D27" s="119">
        <f>'[1]Verification of Boxes'!K26</f>
        <v>0</v>
      </c>
      <c r="E27" s="121">
        <f>'[1]Verification of Boxes'!L26</f>
        <v>0</v>
      </c>
      <c r="F27" s="114">
        <f>'[1]Stage 2'!F27</f>
        <v>0</v>
      </c>
      <c r="G27" s="115">
        <f>'[1]Stage 2'!G27</f>
        <v>0</v>
      </c>
      <c r="H27" s="114">
        <f>'[1]Stage 3'!H27</f>
        <v>0</v>
      </c>
      <c r="I27" s="115">
        <f>'[1]Stage 3'!I27</f>
        <v>0</v>
      </c>
      <c r="J27" s="114">
        <f>'[1]Stage 4'!J27</f>
        <v>0</v>
      </c>
      <c r="K27" s="115">
        <f>'[1]Stage 4'!K27</f>
        <v>0</v>
      </c>
      <c r="L27" s="114">
        <f t="shared" si="12"/>
        <v>0</v>
      </c>
      <c r="M27" s="116">
        <f t="shared" si="13"/>
        <v>0</v>
      </c>
      <c r="N27" s="114"/>
      <c r="O27" s="116">
        <f t="shared" si="14"/>
        <v>0</v>
      </c>
      <c r="P27" s="114"/>
      <c r="Q27" s="116">
        <f t="shared" si="15"/>
        <v>0</v>
      </c>
      <c r="R27" s="114"/>
      <c r="S27" s="116">
        <f t="shared" si="16"/>
        <v>0</v>
      </c>
      <c r="T27" s="114"/>
      <c r="U27" s="116">
        <f t="shared" si="17"/>
        <v>0</v>
      </c>
      <c r="V27" s="117"/>
      <c r="W27" s="118">
        <f t="shared" si="18"/>
        <v>0</v>
      </c>
      <c r="Z27" s="142">
        <f>'[1]Verification of Boxes'!J23</f>
        <v>0</v>
      </c>
      <c r="AA27" s="143">
        <f t="shared" si="23"/>
        <v>0</v>
      </c>
      <c r="AB27" s="54"/>
      <c r="AC27" s="52">
        <f t="shared" si="19"/>
        <v>0</v>
      </c>
      <c r="AD27" s="144"/>
      <c r="AE27" s="54">
        <f t="shared" si="22"/>
        <v>0</v>
      </c>
      <c r="AF27" s="54">
        <f t="shared" si="20"/>
        <v>0</v>
      </c>
      <c r="AG27" s="145">
        <f t="shared" si="21"/>
        <v>0</v>
      </c>
      <c r="AJ27" s="179"/>
      <c r="AK27" s="179"/>
      <c r="AT27" s="54">
        <f>AW27</f>
        <v>0</v>
      </c>
      <c r="AU27" s="54">
        <f t="shared" ref="AU27:AU32" si="24">IF(AO20&lt;&gt;0,1,0)</f>
        <v>1</v>
      </c>
      <c r="AV27" s="54">
        <f>AU27</f>
        <v>1</v>
      </c>
      <c r="AW27" s="54">
        <f t="shared" ref="AW27:AW32" si="25">IF(AN20&lt;AM21,1,0)</f>
        <v>0</v>
      </c>
      <c r="AZ27" t="s">
        <v>98</v>
      </c>
      <c r="BA27" s="14"/>
      <c r="BB27" s="14"/>
      <c r="BC27" s="146"/>
      <c r="BE27" s="180" t="s">
        <v>99</v>
      </c>
      <c r="BF27" s="172">
        <f>BF25+BF26</f>
        <v>0</v>
      </c>
      <c r="BG27" s="181">
        <f>SUM(BG25:BG26)</f>
        <v>0</v>
      </c>
      <c r="BM27" s="14"/>
      <c r="BN27" s="54">
        <f t="shared" si="11"/>
        <v>0</v>
      </c>
      <c r="BO27" s="49">
        <f t="shared" si="3"/>
        <v>0</v>
      </c>
      <c r="BP27" s="94"/>
      <c r="BR27" s="95">
        <f>'[1]Verification of Boxes'!J29</f>
        <v>0</v>
      </c>
      <c r="BS27" s="182"/>
      <c r="BT27" s="54">
        <f t="shared" si="4"/>
        <v>0</v>
      </c>
      <c r="BU27" s="182"/>
      <c r="BV27" s="54">
        <f t="shared" si="5"/>
        <v>0</v>
      </c>
      <c r="BW27" s="182"/>
      <c r="BX27" s="54">
        <f t="shared" si="6"/>
        <v>0</v>
      </c>
      <c r="BY27" s="182"/>
      <c r="BZ27" s="54">
        <f t="shared" si="7"/>
        <v>0</v>
      </c>
      <c r="CA27" s="182"/>
      <c r="CB27" s="54">
        <f t="shared" si="8"/>
        <v>0</v>
      </c>
      <c r="CC27" s="182"/>
      <c r="CD27" s="54">
        <f t="shared" si="9"/>
        <v>0</v>
      </c>
      <c r="CE27" s="54">
        <f t="shared" si="10"/>
        <v>0</v>
      </c>
    </row>
    <row r="28" spans="1:83" ht="14.25" customHeight="1" thickBot="1" x14ac:dyDescent="0.25">
      <c r="A28" s="119">
        <f>IF('[1]Stage 4'!A28&lt;&gt;0,'[1]Stage 4'!A28,IF(M28&gt;=$M$3,"Elected",IF(BP25&lt;&gt;0,"Excluded",0)))</f>
        <v>0</v>
      </c>
      <c r="B28" s="111">
        <f>'[1]Stage 4'!B28</f>
        <v>0</v>
      </c>
      <c r="C28" s="120">
        <f>'[1]Verification of Boxes'!J27</f>
        <v>0</v>
      </c>
      <c r="D28" s="119">
        <f>'[1]Verification of Boxes'!K27</f>
        <v>0</v>
      </c>
      <c r="E28" s="121">
        <f>'[1]Verification of Boxes'!L27</f>
        <v>0</v>
      </c>
      <c r="F28" s="114">
        <f>'[1]Stage 2'!F28</f>
        <v>0</v>
      </c>
      <c r="G28" s="115">
        <f>'[1]Stage 2'!G28</f>
        <v>0</v>
      </c>
      <c r="H28" s="114">
        <f>'[1]Stage 3'!H28</f>
        <v>0</v>
      </c>
      <c r="I28" s="115">
        <f>'[1]Stage 3'!I28</f>
        <v>0</v>
      </c>
      <c r="J28" s="114">
        <f>'[1]Stage 4'!J28</f>
        <v>0</v>
      </c>
      <c r="K28" s="115">
        <f>'[1]Stage 4'!K28</f>
        <v>0</v>
      </c>
      <c r="L28" s="114">
        <f t="shared" si="12"/>
        <v>0</v>
      </c>
      <c r="M28" s="116">
        <f t="shared" si="13"/>
        <v>0</v>
      </c>
      <c r="N28" s="114"/>
      <c r="O28" s="116">
        <f t="shared" si="14"/>
        <v>0</v>
      </c>
      <c r="P28" s="114"/>
      <c r="Q28" s="116">
        <f t="shared" si="15"/>
        <v>0</v>
      </c>
      <c r="R28" s="114"/>
      <c r="S28" s="116">
        <f t="shared" si="16"/>
        <v>0</v>
      </c>
      <c r="T28" s="114"/>
      <c r="U28" s="116">
        <f t="shared" si="17"/>
        <v>0</v>
      </c>
      <c r="V28" s="117"/>
      <c r="W28" s="118">
        <f t="shared" si="18"/>
        <v>0</v>
      </c>
      <c r="Z28" s="142">
        <f>'[1]Verification of Boxes'!J24</f>
        <v>0</v>
      </c>
      <c r="AA28" s="143">
        <f t="shared" si="23"/>
        <v>0</v>
      </c>
      <c r="AB28" s="54"/>
      <c r="AC28" s="52">
        <f t="shared" si="19"/>
        <v>0</v>
      </c>
      <c r="AD28" s="144"/>
      <c r="AE28" s="54">
        <f t="shared" si="22"/>
        <v>0</v>
      </c>
      <c r="AF28" s="54">
        <f t="shared" si="20"/>
        <v>0</v>
      </c>
      <c r="AG28" s="145">
        <f t="shared" si="21"/>
        <v>0</v>
      </c>
      <c r="AL28" s="63" t="s">
        <v>100</v>
      </c>
      <c r="AM28" s="64"/>
      <c r="AN28" s="64"/>
      <c r="AO28" s="64"/>
      <c r="AP28" s="64"/>
      <c r="AQ28" s="65"/>
      <c r="AT28" s="54">
        <f>AT27+AW28</f>
        <v>0</v>
      </c>
      <c r="AU28" s="54">
        <f t="shared" si="24"/>
        <v>0</v>
      </c>
      <c r="AV28" s="54">
        <f>AV27+AU28</f>
        <v>1</v>
      </c>
      <c r="AW28" s="54">
        <f t="shared" si="25"/>
        <v>0</v>
      </c>
      <c r="BA28" s="14"/>
      <c r="BB28" s="14"/>
      <c r="BC28" s="146"/>
      <c r="BR28" s="183" t="s">
        <v>101</v>
      </c>
      <c r="BS28" s="184">
        <v>165</v>
      </c>
      <c r="BT28" s="120">
        <f t="shared" si="4"/>
        <v>165</v>
      </c>
      <c r="BU28" s="184"/>
      <c r="BV28" s="120">
        <f t="shared" si="5"/>
        <v>0</v>
      </c>
      <c r="BW28" s="184"/>
      <c r="BX28" s="120">
        <f t="shared" si="6"/>
        <v>0</v>
      </c>
      <c r="BY28" s="184"/>
      <c r="BZ28" s="120">
        <f t="shared" si="7"/>
        <v>0</v>
      </c>
      <c r="CA28" s="184"/>
      <c r="CB28" s="120">
        <f t="shared" si="8"/>
        <v>0</v>
      </c>
      <c r="CC28" s="184"/>
      <c r="CD28" s="144">
        <f t="shared" si="9"/>
        <v>0</v>
      </c>
      <c r="CE28" s="54">
        <f t="shared" si="10"/>
        <v>165</v>
      </c>
    </row>
    <row r="29" spans="1:83" ht="13.5" thickBot="1" x14ac:dyDescent="0.25">
      <c r="A29" s="119">
        <f>IF('[1]Stage 4'!A29&lt;&gt;0,'[1]Stage 4'!A29,IF(M29&gt;=$M$3,"Elected",IF(BP26&lt;&gt;0,"Excluded",0)))</f>
        <v>0</v>
      </c>
      <c r="B29" s="111">
        <f>'[1]Stage 4'!B29</f>
        <v>0</v>
      </c>
      <c r="C29" s="120">
        <f>'[1]Verification of Boxes'!J28</f>
        <v>0</v>
      </c>
      <c r="D29" s="119">
        <f>'[1]Verification of Boxes'!K28</f>
        <v>0</v>
      </c>
      <c r="E29" s="121">
        <f>'[1]Verification of Boxes'!L28</f>
        <v>0</v>
      </c>
      <c r="F29" s="114">
        <f>'[1]Stage 2'!F29</f>
        <v>0</v>
      </c>
      <c r="G29" s="115">
        <f>'[1]Stage 2'!G29</f>
        <v>0</v>
      </c>
      <c r="H29" s="114">
        <f>'[1]Stage 3'!H29</f>
        <v>0</v>
      </c>
      <c r="I29" s="115">
        <f>'[1]Stage 3'!I29</f>
        <v>0</v>
      </c>
      <c r="J29" s="114">
        <f>'[1]Stage 4'!J29</f>
        <v>0</v>
      </c>
      <c r="K29" s="115">
        <f>'[1]Stage 4'!K29</f>
        <v>0</v>
      </c>
      <c r="L29" s="114">
        <f t="shared" si="12"/>
        <v>0</v>
      </c>
      <c r="M29" s="116">
        <f t="shared" si="13"/>
        <v>0</v>
      </c>
      <c r="N29" s="114"/>
      <c r="O29" s="116">
        <f t="shared" si="14"/>
        <v>0</v>
      </c>
      <c r="P29" s="114"/>
      <c r="Q29" s="116">
        <f t="shared" si="15"/>
        <v>0</v>
      </c>
      <c r="R29" s="114"/>
      <c r="S29" s="116">
        <f t="shared" si="16"/>
        <v>0</v>
      </c>
      <c r="T29" s="114"/>
      <c r="U29" s="116">
        <f t="shared" si="17"/>
        <v>0</v>
      </c>
      <c r="V29" s="117"/>
      <c r="W29" s="118">
        <f t="shared" si="18"/>
        <v>0</v>
      </c>
      <c r="Z29" s="142">
        <f>'[1]Verification of Boxes'!J25</f>
        <v>0</v>
      </c>
      <c r="AA29" s="143">
        <f t="shared" si="23"/>
        <v>0</v>
      </c>
      <c r="AB29" s="54"/>
      <c r="AC29" s="52">
        <f t="shared" si="19"/>
        <v>0</v>
      </c>
      <c r="AD29" s="144"/>
      <c r="AE29" s="54">
        <f t="shared" si="22"/>
        <v>0</v>
      </c>
      <c r="AF29" s="54">
        <f t="shared" si="20"/>
        <v>0</v>
      </c>
      <c r="AG29" s="145">
        <f t="shared" si="21"/>
        <v>0</v>
      </c>
      <c r="AL29" s="80"/>
      <c r="AM29" s="81"/>
      <c r="AN29" s="81"/>
      <c r="AO29" s="81"/>
      <c r="AP29" s="81"/>
      <c r="AQ29" s="82"/>
      <c r="AT29" s="54">
        <f>AT28+AW29</f>
        <v>0</v>
      </c>
      <c r="AU29" s="54">
        <f t="shared" si="24"/>
        <v>0</v>
      </c>
      <c r="AV29" s="54">
        <f>AV28+AU29</f>
        <v>1</v>
      </c>
      <c r="AW29" s="54">
        <f t="shared" si="25"/>
        <v>0</v>
      </c>
      <c r="AZ29" t="s">
        <v>102</v>
      </c>
      <c r="BA29" s="14" t="s">
        <v>81</v>
      </c>
      <c r="BB29" s="14"/>
      <c r="BC29" s="168">
        <f>IF(BC19&lt;=BC12,BC14,0)</f>
        <v>0</v>
      </c>
      <c r="BE29" s="14" t="s">
        <v>103</v>
      </c>
      <c r="BF29">
        <f>BC13</f>
        <v>0</v>
      </c>
      <c r="BR29" s="54" t="s">
        <v>104</v>
      </c>
      <c r="BS29" s="85">
        <f>SUM(BS8:BS28)</f>
        <v>423</v>
      </c>
      <c r="BT29" s="54">
        <f t="shared" si="4"/>
        <v>423</v>
      </c>
      <c r="BU29" s="85">
        <f>SUM(BU8:BU28)</f>
        <v>0</v>
      </c>
      <c r="BV29" s="54">
        <f t="shared" si="5"/>
        <v>0</v>
      </c>
      <c r="BW29" s="85">
        <f>SUM(BW8:BW28)</f>
        <v>0</v>
      </c>
      <c r="BX29" s="54">
        <f t="shared" si="6"/>
        <v>0</v>
      </c>
      <c r="BY29" s="85">
        <f>SUM(BY8:BY28)</f>
        <v>0</v>
      </c>
      <c r="BZ29" s="54">
        <f t="shared" si="7"/>
        <v>0</v>
      </c>
      <c r="CA29" s="85">
        <f>SUM(CA8:CA28)</f>
        <v>0</v>
      </c>
      <c r="CB29" s="54">
        <f t="shared" si="8"/>
        <v>0</v>
      </c>
      <c r="CC29" s="85">
        <f>SUM(CC8:CC28)</f>
        <v>0</v>
      </c>
      <c r="CD29" s="54">
        <f t="shared" si="9"/>
        <v>0</v>
      </c>
      <c r="CE29" s="54">
        <f>SUM(CE8:CE28)</f>
        <v>423</v>
      </c>
    </row>
    <row r="30" spans="1:83" ht="14.25" customHeight="1" thickBot="1" x14ac:dyDescent="0.25">
      <c r="A30" s="185">
        <f>IF('[1]Stage 4'!A30&lt;&gt;0,'[1]Stage 4'!A30,IF(M30&gt;=$M$3,"Elected",IF(BP27&lt;&gt;0,"Excluded",0)))</f>
        <v>0</v>
      </c>
      <c r="B30" s="111">
        <f>'[1]Stage 4'!B30</f>
        <v>0</v>
      </c>
      <c r="C30" s="186">
        <f>'[1]Verification of Boxes'!J29</f>
        <v>0</v>
      </c>
      <c r="D30" s="185">
        <f>'[1]Verification of Boxes'!K29</f>
        <v>0</v>
      </c>
      <c r="E30" s="121">
        <f>'[1]Verification of Boxes'!L29</f>
        <v>0</v>
      </c>
      <c r="F30" s="114">
        <f>'[1]Stage 2'!F30</f>
        <v>0</v>
      </c>
      <c r="G30" s="115">
        <f>'[1]Stage 2'!G30</f>
        <v>0</v>
      </c>
      <c r="H30" s="114">
        <f>'[1]Stage 3'!H30</f>
        <v>0</v>
      </c>
      <c r="I30" s="115">
        <f>'[1]Stage 3'!I30</f>
        <v>0</v>
      </c>
      <c r="J30" s="114">
        <f>'[1]Stage 4'!J30</f>
        <v>0</v>
      </c>
      <c r="K30" s="115">
        <f>'[1]Stage 4'!K30</f>
        <v>0</v>
      </c>
      <c r="L30" s="114">
        <f t="shared" si="12"/>
        <v>0</v>
      </c>
      <c r="M30" s="116">
        <f t="shared" si="13"/>
        <v>0</v>
      </c>
      <c r="N30" s="114"/>
      <c r="O30" s="116">
        <f t="shared" si="14"/>
        <v>0</v>
      </c>
      <c r="P30" s="114"/>
      <c r="Q30" s="116">
        <f t="shared" si="15"/>
        <v>0</v>
      </c>
      <c r="R30" s="114"/>
      <c r="S30" s="116">
        <f t="shared" si="16"/>
        <v>0</v>
      </c>
      <c r="T30" s="114"/>
      <c r="U30" s="116">
        <f t="shared" si="17"/>
        <v>0</v>
      </c>
      <c r="V30" s="117"/>
      <c r="W30" s="118">
        <f t="shared" si="18"/>
        <v>0</v>
      </c>
      <c r="Z30" s="142">
        <f>'[1]Verification of Boxes'!J26</f>
        <v>0</v>
      </c>
      <c r="AA30" s="143">
        <f t="shared" si="23"/>
        <v>0</v>
      </c>
      <c r="AB30" s="54"/>
      <c r="AC30" s="52">
        <f t="shared" si="19"/>
        <v>0</v>
      </c>
      <c r="AD30" s="144"/>
      <c r="AE30" s="54">
        <f t="shared" si="22"/>
        <v>0</v>
      </c>
      <c r="AF30" s="54">
        <f t="shared" si="20"/>
        <v>0</v>
      </c>
      <c r="AG30" s="145">
        <f t="shared" si="21"/>
        <v>0</v>
      </c>
      <c r="AL30" s="187"/>
      <c r="AM30" s="187"/>
      <c r="AN30" s="187"/>
      <c r="AO30" s="187"/>
      <c r="AP30" s="187"/>
      <c r="AQ30" s="187"/>
      <c r="AT30" s="54">
        <f>AT29+AW30</f>
        <v>0</v>
      </c>
      <c r="AU30" s="54">
        <f t="shared" si="24"/>
        <v>0</v>
      </c>
      <c r="AV30" s="54">
        <f>AV29+AU30</f>
        <v>1</v>
      </c>
      <c r="AW30" s="54">
        <f t="shared" si="25"/>
        <v>0</v>
      </c>
      <c r="BA30" s="14"/>
      <c r="BB30" s="14"/>
      <c r="BC30" s="146"/>
      <c r="BF30" s="34" t="str">
        <f>IF(BF29-BF27=0,"NONE", BF29-BF27)</f>
        <v>NONE</v>
      </c>
      <c r="BG30" s="34"/>
      <c r="BI30" s="63" t="s">
        <v>105</v>
      </c>
      <c r="BJ30" s="64"/>
      <c r="BK30" s="65"/>
      <c r="BX30" s="188" t="str">
        <f>IF(BW31=BW69,"Calculations OK","Check Count for Error")</f>
        <v>Check Count for Error</v>
      </c>
      <c r="BY30" s="188"/>
    </row>
    <row r="31" spans="1:83" ht="16.5" customHeight="1" thickBot="1" x14ac:dyDescent="0.25">
      <c r="D31" s="43" t="s">
        <v>106</v>
      </c>
      <c r="E31" s="189"/>
      <c r="F31" s="114">
        <f>'[1]Stage 2'!F31</f>
        <v>12.200000000000045</v>
      </c>
      <c r="G31" s="115">
        <f>'[1]Stage 2'!G31</f>
        <v>12.200000000000045</v>
      </c>
      <c r="H31" s="114">
        <f>'[1]Stage 3'!H31</f>
        <v>89.699999999999989</v>
      </c>
      <c r="I31" s="115">
        <f>'[1]Stage 3'!I31</f>
        <v>101.90000000000003</v>
      </c>
      <c r="J31" s="114">
        <f>'[1]Stage 4'!J31</f>
        <v>43.099999999999994</v>
      </c>
      <c r="K31" s="115">
        <f>'[1]Stage 4'!K31</f>
        <v>145.00000000000003</v>
      </c>
      <c r="L31" s="114">
        <f>$BK69</f>
        <v>165</v>
      </c>
      <c r="M31" s="190">
        <f t="shared" si="13"/>
        <v>310</v>
      </c>
      <c r="N31" s="191"/>
      <c r="O31" s="190">
        <f t="shared" si="14"/>
        <v>0</v>
      </c>
      <c r="P31" s="191"/>
      <c r="Q31" s="190">
        <f t="shared" si="15"/>
        <v>0</v>
      </c>
      <c r="R31" s="191"/>
      <c r="S31" s="190">
        <f t="shared" si="16"/>
        <v>0</v>
      </c>
      <c r="T31" s="191"/>
      <c r="U31" s="190">
        <f t="shared" si="17"/>
        <v>0</v>
      </c>
      <c r="V31" s="192"/>
      <c r="W31" s="193">
        <f t="shared" si="18"/>
        <v>0</v>
      </c>
      <c r="Z31" s="142">
        <f>'[1]Verification of Boxes'!J27</f>
        <v>0</v>
      </c>
      <c r="AA31" s="143">
        <f t="shared" si="23"/>
        <v>0</v>
      </c>
      <c r="AB31" s="54"/>
      <c r="AC31" s="52">
        <f t="shared" si="19"/>
        <v>0</v>
      </c>
      <c r="AD31" s="144"/>
      <c r="AE31" s="54">
        <f t="shared" si="22"/>
        <v>0</v>
      </c>
      <c r="AF31" s="54">
        <f t="shared" si="20"/>
        <v>0</v>
      </c>
      <c r="AG31" s="145">
        <f t="shared" si="21"/>
        <v>0</v>
      </c>
      <c r="AL31" s="63" t="s">
        <v>107</v>
      </c>
      <c r="AM31" s="64"/>
      <c r="AN31" s="64"/>
      <c r="AO31" s="64"/>
      <c r="AP31" s="64"/>
      <c r="AQ31" s="65"/>
      <c r="AT31" s="54">
        <f>AT30+AW31</f>
        <v>0</v>
      </c>
      <c r="AU31" s="54">
        <f t="shared" si="24"/>
        <v>0</v>
      </c>
      <c r="AV31" s="54">
        <f>AV30+AU31</f>
        <v>1</v>
      </c>
      <c r="AW31" s="54">
        <f t="shared" si="25"/>
        <v>0</v>
      </c>
      <c r="AZ31" t="s">
        <v>108</v>
      </c>
      <c r="BA31" s="14" t="s">
        <v>109</v>
      </c>
      <c r="BB31" s="14"/>
      <c r="BC31" s="122" t="b">
        <f>IF(AT5=0,0,IF(AT5="T",IF(BC19&lt;=BC12,BC12-BC19,0)))</f>
        <v>0</v>
      </c>
      <c r="BE31" s="194" t="s">
        <v>110</v>
      </c>
      <c r="BF31" s="34"/>
      <c r="BG31" s="34"/>
      <c r="BI31" s="80"/>
      <c r="BJ31" s="81"/>
      <c r="BK31" s="82"/>
      <c r="BV31" t="s">
        <v>111</v>
      </c>
      <c r="BW31" s="54">
        <f>BT29+BV29+BX29+BZ29+CB29+CD29</f>
        <v>423</v>
      </c>
      <c r="BX31" s="34"/>
      <c r="BY31" s="34"/>
      <c r="BZ31" s="54">
        <f>BW69-BW31</f>
        <v>70.5</v>
      </c>
      <c r="CB31" s="63" t="s">
        <v>105</v>
      </c>
      <c r="CC31" s="64"/>
      <c r="CD31" s="64"/>
      <c r="CE31" s="65"/>
    </row>
    <row r="32" spans="1:83" ht="13.5" thickBot="1" x14ac:dyDescent="0.25">
      <c r="D32" s="195" t="s">
        <v>111</v>
      </c>
      <c r="E32" s="196">
        <f>SUM(E11:E30)</f>
        <v>7163</v>
      </c>
      <c r="F32" s="197"/>
      <c r="G32" s="115">
        <f>'[1]Stage 2'!G32</f>
        <v>7163</v>
      </c>
      <c r="H32" s="198"/>
      <c r="I32" s="115">
        <f>'[1]Stage 3'!I32</f>
        <v>7163</v>
      </c>
      <c r="J32" s="199"/>
      <c r="K32" s="200">
        <f>SUM(K11:K31)</f>
        <v>7163</v>
      </c>
      <c r="L32" s="199"/>
      <c r="M32" s="200">
        <f>SUM(M11:M31)</f>
        <v>7092.5</v>
      </c>
      <c r="N32" s="199"/>
      <c r="O32" s="200">
        <f>SUM(O11:O31)</f>
        <v>0</v>
      </c>
      <c r="P32" s="199"/>
      <c r="Q32" s="200">
        <f>SUM(Q11:Q31)</f>
        <v>0</v>
      </c>
      <c r="R32" s="199"/>
      <c r="S32" s="200">
        <f>SUM(S11:S31)</f>
        <v>0</v>
      </c>
      <c r="T32" s="199"/>
      <c r="U32" s="200">
        <f>SUM(U11:U31)</f>
        <v>0</v>
      </c>
      <c r="V32" s="197"/>
      <c r="W32" s="122">
        <f>SUM(W11:W31)</f>
        <v>0</v>
      </c>
      <c r="Z32" s="142">
        <f>'[1]Verification of Boxes'!J28</f>
        <v>0</v>
      </c>
      <c r="AA32" s="143">
        <f t="shared" si="23"/>
        <v>0</v>
      </c>
      <c r="AB32" s="54"/>
      <c r="AC32" s="52">
        <f t="shared" si="19"/>
        <v>0</v>
      </c>
      <c r="AD32" s="144"/>
      <c r="AE32" s="54">
        <f t="shared" si="22"/>
        <v>0</v>
      </c>
      <c r="AF32" s="54">
        <f t="shared" si="20"/>
        <v>0</v>
      </c>
      <c r="AG32" s="145">
        <f t="shared" si="21"/>
        <v>0</v>
      </c>
      <c r="AL32" s="80"/>
      <c r="AM32" s="81"/>
      <c r="AN32" s="81"/>
      <c r="AO32" s="81"/>
      <c r="AP32" s="81"/>
      <c r="AQ32" s="82"/>
      <c r="AT32" s="54">
        <f>AT31+AW32</f>
        <v>0</v>
      </c>
      <c r="AU32" s="54">
        <f t="shared" si="24"/>
        <v>0</v>
      </c>
      <c r="AV32" s="54">
        <f>AV31+AU32</f>
        <v>1</v>
      </c>
      <c r="AW32" s="54">
        <f t="shared" si="25"/>
        <v>0</v>
      </c>
      <c r="BF32" s="34"/>
      <c r="BG32" s="34"/>
      <c r="BX32" s="34"/>
      <c r="BY32" s="34"/>
      <c r="CB32" s="80"/>
      <c r="CC32" s="81"/>
      <c r="CD32" s="81"/>
      <c r="CE32" s="82"/>
    </row>
    <row r="33" spans="4:75" ht="13.5" thickBot="1" x14ac:dyDescent="0.25">
      <c r="D33" s="43"/>
      <c r="E33" t="str">
        <f>IF(E32=$G4,"Totals Correct","ERROR")</f>
        <v>Totals Correct</v>
      </c>
      <c r="G33" t="str">
        <f>IF(G32=$G4,"Totals Correct","ERROR")</f>
        <v>Totals Correct</v>
      </c>
      <c r="I33" t="str">
        <f>IF(I32=$G4,"Totals Correct","ERROR")</f>
        <v>Totals Correct</v>
      </c>
      <c r="K33" t="str">
        <f>IF(K32=$G4,"Totals Correct","ERROR")</f>
        <v>Totals Correct</v>
      </c>
      <c r="M33" t="str">
        <f>IF(M32=$G4,"Totals Correct","ERROR")</f>
        <v>ERROR</v>
      </c>
      <c r="Z33" s="201">
        <f>'[1]Verification of Boxes'!J29</f>
        <v>0</v>
      </c>
      <c r="AA33" s="171">
        <f t="shared" si="23"/>
        <v>0</v>
      </c>
      <c r="AB33" s="172"/>
      <c r="AC33" s="181">
        <f t="shared" si="19"/>
        <v>0</v>
      </c>
      <c r="AD33" s="202"/>
      <c r="AE33" s="172">
        <f t="shared" si="22"/>
        <v>0</v>
      </c>
      <c r="AF33" s="172">
        <f t="shared" si="20"/>
        <v>0</v>
      </c>
      <c r="AG33" s="203">
        <f t="shared" si="21"/>
        <v>0</v>
      </c>
    </row>
    <row r="34" spans="4:75" ht="13.5" thickBot="1" x14ac:dyDescent="0.25">
      <c r="D34" s="195" t="s">
        <v>112</v>
      </c>
      <c r="E34" s="204" t="str">
        <f>'[1]Stage 2'!E34</f>
        <v xml:space="preserve"> </v>
      </c>
      <c r="F34" s="205"/>
      <c r="G34" s="204">
        <f>'[1]Stage 2'!G34</f>
        <v>0.47222222222222227</v>
      </c>
      <c r="H34" s="205"/>
      <c r="I34" s="204">
        <f>'[1]Stage 3'!I34</f>
        <v>0.51388888888888895</v>
      </c>
      <c r="J34" s="205"/>
      <c r="K34" s="204">
        <f>'[1]Stage 4'!K34</f>
        <v>0.56944444444444442</v>
      </c>
      <c r="L34" s="205"/>
      <c r="M34" s="206"/>
      <c r="N34" s="205"/>
      <c r="O34" s="205"/>
      <c r="P34" s="205"/>
      <c r="Q34" s="205"/>
      <c r="R34" s="205"/>
      <c r="S34" s="205"/>
      <c r="T34" s="205"/>
      <c r="U34" s="205"/>
      <c r="V34" s="205"/>
      <c r="W34" s="207"/>
    </row>
    <row r="35" spans="4:75" x14ac:dyDescent="0.2">
      <c r="D35" s="43"/>
      <c r="E35" s="146"/>
      <c r="G35" s="146"/>
      <c r="I35" s="146"/>
      <c r="K35" s="146"/>
    </row>
    <row r="36" spans="4:75" x14ac:dyDescent="0.2">
      <c r="D36" s="43"/>
      <c r="E36" s="146"/>
      <c r="G36" s="146"/>
      <c r="I36" s="146"/>
      <c r="K36" s="146"/>
    </row>
    <row r="38" spans="4:75" x14ac:dyDescent="0.2">
      <c r="Z38" s="208" t="s">
        <v>113</v>
      </c>
      <c r="AA38" s="209"/>
      <c r="AB38" s="209"/>
      <c r="AC38" s="209"/>
      <c r="AD38" s="209"/>
      <c r="AE38" s="209"/>
      <c r="AF38" s="209"/>
      <c r="AG38" s="209"/>
      <c r="AK38" s="5"/>
      <c r="AL38" s="54">
        <v>1</v>
      </c>
      <c r="AM38" s="54">
        <v>2</v>
      </c>
      <c r="AN38" s="54">
        <v>3</v>
      </c>
      <c r="AO38" s="54">
        <v>4</v>
      </c>
      <c r="AP38" s="54">
        <v>5</v>
      </c>
      <c r="AQ38" s="54">
        <v>6</v>
      </c>
    </row>
    <row r="39" spans="4:75" x14ac:dyDescent="0.2">
      <c r="Z39" s="208" t="s">
        <v>114</v>
      </c>
      <c r="AA39" s="209"/>
      <c r="AB39" s="209"/>
      <c r="AC39" s="209"/>
      <c r="AD39" s="209"/>
      <c r="AE39" s="209"/>
      <c r="AF39" s="209"/>
      <c r="AG39" s="209"/>
      <c r="AL39" s="54">
        <f>IF(AP20="Exclude",1,0)</f>
        <v>0</v>
      </c>
      <c r="AM39" s="54">
        <f>IF(AP21="Exclude",1,0)</f>
        <v>0</v>
      </c>
      <c r="AN39" s="54">
        <f>IF(AP22="Exclude",1,0)</f>
        <v>0</v>
      </c>
      <c r="AO39" s="54">
        <f>IF(AP23="Exclude",1,0)</f>
        <v>0</v>
      </c>
      <c r="AP39" s="54">
        <f>IF(AP24="Exclude",1,0)</f>
        <v>0</v>
      </c>
      <c r="AQ39" s="54">
        <f>IF(AP25="Exclude",1,0)</f>
        <v>0</v>
      </c>
    </row>
    <row r="40" spans="4:75" x14ac:dyDescent="0.2">
      <c r="Z40" s="210" t="s">
        <v>115</v>
      </c>
      <c r="AA40" s="209"/>
      <c r="AB40" s="209"/>
      <c r="AC40" s="209"/>
      <c r="AD40" s="209"/>
      <c r="AE40" s="209"/>
      <c r="AF40" s="209"/>
      <c r="AG40" s="209"/>
      <c r="AL40" s="54">
        <f t="shared" ref="AL40:AQ40" si="26">AL39+AK40</f>
        <v>0</v>
      </c>
      <c r="AM40" s="54">
        <f t="shared" si="26"/>
        <v>0</v>
      </c>
      <c r="AN40" s="54">
        <f t="shared" si="26"/>
        <v>0</v>
      </c>
      <c r="AO40" s="54">
        <f t="shared" si="26"/>
        <v>0</v>
      </c>
      <c r="AP40" s="54">
        <f t="shared" si="26"/>
        <v>0</v>
      </c>
      <c r="AQ40" s="54">
        <f t="shared" si="26"/>
        <v>0</v>
      </c>
    </row>
    <row r="41" spans="4:75" x14ac:dyDescent="0.2">
      <c r="Z41" s="209"/>
      <c r="AA41" s="208"/>
      <c r="AB41" s="209"/>
      <c r="AC41" s="209"/>
      <c r="AD41" s="209"/>
      <c r="AE41" s="209"/>
      <c r="AF41" s="209"/>
      <c r="AG41" s="209"/>
      <c r="AL41" s="54">
        <f t="shared" ref="AL41:AQ41" si="27">IF(AK40=AL40,1,0)</f>
        <v>1</v>
      </c>
      <c r="AM41" s="54">
        <f t="shared" si="27"/>
        <v>1</v>
      </c>
      <c r="AN41" s="54">
        <f t="shared" si="27"/>
        <v>1</v>
      </c>
      <c r="AO41" s="54">
        <f t="shared" si="27"/>
        <v>1</v>
      </c>
      <c r="AP41" s="54">
        <f t="shared" si="27"/>
        <v>1</v>
      </c>
      <c r="AQ41" s="54">
        <f t="shared" si="27"/>
        <v>1</v>
      </c>
    </row>
    <row r="42" spans="4:75" x14ac:dyDescent="0.2">
      <c r="Z42" s="209"/>
      <c r="AA42" s="209"/>
      <c r="AB42" s="209"/>
      <c r="AC42" s="210" t="s">
        <v>74</v>
      </c>
      <c r="AD42" s="210"/>
      <c r="AE42" s="210" t="s">
        <v>116</v>
      </c>
      <c r="AF42" s="209"/>
      <c r="AG42" s="209"/>
      <c r="AL42" s="54">
        <f t="shared" ref="AL42:AQ42" si="28">IF(AM40=AL38,"add",0)</f>
        <v>0</v>
      </c>
      <c r="AM42" s="54">
        <f t="shared" si="28"/>
        <v>0</v>
      </c>
      <c r="AN42" s="54">
        <f t="shared" si="28"/>
        <v>0</v>
      </c>
      <c r="AO42" s="54">
        <f t="shared" si="28"/>
        <v>0</v>
      </c>
      <c r="AP42" s="54">
        <f t="shared" si="28"/>
        <v>0</v>
      </c>
      <c r="AQ42" s="54">
        <f t="shared" si="28"/>
        <v>0</v>
      </c>
    </row>
    <row r="43" spans="4:75" ht="12.75" customHeight="1" x14ac:dyDescent="0.2">
      <c r="Z43" s="209"/>
      <c r="AA43" s="209"/>
      <c r="AB43" s="209"/>
      <c r="AC43" s="209">
        <f>AG2</f>
        <v>0</v>
      </c>
      <c r="AD43" s="209"/>
      <c r="AE43" s="211"/>
      <c r="AF43" s="209"/>
      <c r="AG43" s="209"/>
      <c r="AK43">
        <f>SUM(AL43:AQ43)</f>
        <v>0</v>
      </c>
      <c r="AL43" s="54" t="str">
        <f>IF(AL42="add",AN20,"other")</f>
        <v>other</v>
      </c>
      <c r="AM43" s="54" t="str">
        <f>IF(AM42="add",AN21,"other")</f>
        <v>other</v>
      </c>
      <c r="AN43" s="54" t="str">
        <f>IF(AN42="add",AN22,"other")</f>
        <v>other</v>
      </c>
      <c r="AO43" s="54" t="str">
        <f>IF(AO42="add",AN23,"other")</f>
        <v>other</v>
      </c>
      <c r="AP43" s="54" t="str">
        <f>IF(AP42="add",AN24,"other")</f>
        <v>other</v>
      </c>
      <c r="AQ43" s="54" t="str">
        <f>IF(AQ42="add",AN25,"other")</f>
        <v>other</v>
      </c>
    </row>
    <row r="44" spans="4:75" x14ac:dyDescent="0.2">
      <c r="Z44" s="212" t="e">
        <f t="array" aca="1" ref="Z44:AB63" ca="1">_xlfn._xlws.SORT(AJ48:AL67,3,,)</f>
        <v>#NAME?</v>
      </c>
      <c r="AA44" s="209" t="e">
        <f ca="1"/>
        <v>#NAME?</v>
      </c>
      <c r="AB44" s="209" t="e">
        <f ca="1"/>
        <v>#NAME?</v>
      </c>
      <c r="AC44" s="209" t="e">
        <f ca="1">AC43+AA44</f>
        <v>#NAME?</v>
      </c>
      <c r="AD44" s="209"/>
      <c r="AE44" s="211" t="e">
        <f ca="1">IF(AC44&gt;$AG$4,0,IF(AC44&lt;AA45,"Exclude this candidate",0))</f>
        <v>#NAME?</v>
      </c>
      <c r="AF44" s="209"/>
      <c r="AG44" s="209"/>
      <c r="AL44" s="54"/>
      <c r="AM44" s="54"/>
      <c r="AN44" s="54"/>
      <c r="AO44" s="54"/>
      <c r="AP44" s="54"/>
      <c r="AQ44" s="54"/>
    </row>
    <row r="45" spans="4:75" ht="18" customHeight="1" x14ac:dyDescent="0.25">
      <c r="Z45" s="212" t="e">
        <f ca="1"/>
        <v>#NAME?</v>
      </c>
      <c r="AA45" s="209" t="e">
        <f ca="1"/>
        <v>#NAME?</v>
      </c>
      <c r="AB45" s="209" t="e">
        <f ca="1"/>
        <v>#NAME?</v>
      </c>
      <c r="AC45" s="209" t="e">
        <f ca="1">AC44+AA45</f>
        <v>#NAME?</v>
      </c>
      <c r="AD45" s="209"/>
      <c r="AE45" s="211" t="e">
        <f ca="1">IF(AC45&gt;$AG$4,0,IF(AC45&lt;AA46,"Exclude 2 lowest candidates",0))</f>
        <v>#NAME?</v>
      </c>
      <c r="AF45" s="209"/>
      <c r="AG45" s="209"/>
      <c r="AJ45" s="15" t="s">
        <v>117</v>
      </c>
      <c r="AK45" s="15"/>
      <c r="AL45" s="15"/>
      <c r="AM45" s="15"/>
      <c r="AN45" s="15"/>
    </row>
    <row r="46" spans="4:75" x14ac:dyDescent="0.2">
      <c r="Z46" s="212" t="e">
        <f ca="1"/>
        <v>#NAME?</v>
      </c>
      <c r="AA46" s="209" t="e">
        <f ca="1"/>
        <v>#NAME?</v>
      </c>
      <c r="AB46" s="209" t="e">
        <f ca="1"/>
        <v>#NAME?</v>
      </c>
      <c r="AC46" s="209" t="e">
        <f t="shared" ref="AC46:AC63" ca="1" si="29">AC45+AA46</f>
        <v>#NAME?</v>
      </c>
      <c r="AD46" s="209"/>
      <c r="AE46" s="211" t="e">
        <f ca="1">IF(AC46&gt;$AG$4,0,IF(AC46&lt;AA47,"Exclude 3 lowest candidates",0))</f>
        <v>#NAME?</v>
      </c>
      <c r="AF46" s="209"/>
      <c r="AG46" s="209"/>
      <c r="AL46" s="146">
        <f>AL47</f>
        <v>493.5</v>
      </c>
      <c r="AN46" s="146">
        <f>AN47+AL46</f>
        <v>734.7</v>
      </c>
      <c r="AP46" s="146">
        <f>AP47+AN46</f>
        <v>1130.3000000000002</v>
      </c>
      <c r="AR46" s="146">
        <f>AR47+AP46</f>
        <v>1131.3499999999999</v>
      </c>
      <c r="AS46" s="146"/>
      <c r="AU46" s="146">
        <f>AU47+AR46</f>
        <v>1140.1500000000001</v>
      </c>
      <c r="AW46" s="146">
        <f>AW47+AU46</f>
        <v>1194</v>
      </c>
      <c r="AX46" s="146"/>
      <c r="BG46" t="s">
        <v>118</v>
      </c>
    </row>
    <row r="47" spans="4:75" x14ac:dyDescent="0.2">
      <c r="Z47" s="212" t="e">
        <f ca="1"/>
        <v>#NAME?</v>
      </c>
      <c r="AA47" s="209" t="e">
        <f ca="1"/>
        <v>#NAME?</v>
      </c>
      <c r="AB47" s="209" t="e">
        <f ca="1"/>
        <v>#NAME?</v>
      </c>
      <c r="AC47" s="209" t="e">
        <f t="shared" ca="1" si="29"/>
        <v>#NAME?</v>
      </c>
      <c r="AD47" s="209"/>
      <c r="AE47" s="211" t="e">
        <f ca="1">IF(AC47&gt;$AG$4,0,IF(AC47&lt;AA48,"Exclude 4 lowest candidates",0))</f>
        <v>#NAME?</v>
      </c>
      <c r="AF47" s="209"/>
      <c r="AG47" s="209"/>
      <c r="AL47" s="146">
        <f>MIN(AL48:AL67)</f>
        <v>493.5</v>
      </c>
      <c r="AN47" s="146">
        <f>MIN(AN48:AN67)</f>
        <v>241.20000000000005</v>
      </c>
      <c r="AP47" s="146">
        <f>MIN(AP48:AP67)</f>
        <v>395.60000000000014</v>
      </c>
      <c r="AR47" s="146">
        <f>MIN(AR48:AR67)</f>
        <v>1.0499999999997272</v>
      </c>
      <c r="AS47" s="146"/>
      <c r="AU47" s="146">
        <f>MIN(AU48:AU67)</f>
        <v>8.8000000000001819</v>
      </c>
      <c r="AW47" s="146">
        <f>MIN(AW48:AW67)</f>
        <v>53.849999999999909</v>
      </c>
      <c r="AX47" s="146"/>
    </row>
    <row r="48" spans="4:75" ht="38.25" x14ac:dyDescent="0.2">
      <c r="Z48" s="212" t="e">
        <f ca="1"/>
        <v>#NAME?</v>
      </c>
      <c r="AA48" s="209" t="e">
        <f ca="1"/>
        <v>#NAME?</v>
      </c>
      <c r="AB48" s="209" t="e">
        <f ca="1"/>
        <v>#NAME?</v>
      </c>
      <c r="AC48" s="209" t="e">
        <f t="shared" ca="1" si="29"/>
        <v>#NAME?</v>
      </c>
      <c r="AD48" s="209"/>
      <c r="AE48" s="211" t="e">
        <f ca="1">IF(AC48&gt;$AG$4,0,IF(AC48&lt;AA49,"Exclude 5 lowest candidates",0))</f>
        <v>#NAME?</v>
      </c>
      <c r="AF48" s="209"/>
      <c r="AG48" s="209"/>
      <c r="AJ48" t="str">
        <f t="shared" ref="AJ48:AK63" si="30">Z14</f>
        <v>Barr, Lilian Seenoi</v>
      </c>
      <c r="AK48" s="146">
        <f t="shared" si="30"/>
        <v>1130.3000000000002</v>
      </c>
      <c r="AL48">
        <f>IF(AK48&lt;&gt;0,AK48,1000000)</f>
        <v>1130.3000000000002</v>
      </c>
      <c r="AM48" s="146">
        <f t="shared" ref="AM48:AM67" si="31">AL48-AL$47</f>
        <v>636.80000000000018</v>
      </c>
      <c r="AN48">
        <f>IF(AM48&lt;&gt;0,AM48,1000000)</f>
        <v>636.80000000000018</v>
      </c>
      <c r="AO48" s="146">
        <f t="shared" ref="AO48:AO67" si="32">AN48-AN$47</f>
        <v>395.60000000000014</v>
      </c>
      <c r="AP48">
        <f t="shared" ref="AP48:AP67" si="33">IF(AO48&lt;&gt;0,AO48,1000000)</f>
        <v>395.60000000000014</v>
      </c>
      <c r="AQ48" s="146">
        <f t="shared" ref="AQ48:AQ67" si="34">AP48-AP$47</f>
        <v>0</v>
      </c>
      <c r="AR48">
        <f t="shared" ref="AR48:AR67" si="35">IF(AQ48&lt;&gt;0,AQ48,1000000)</f>
        <v>1000000</v>
      </c>
      <c r="AT48" s="146">
        <f t="shared" ref="AT48:AT67" si="36">AR48-AR$47</f>
        <v>999998.95</v>
      </c>
      <c r="AU48">
        <f t="shared" ref="AU48:AU67" si="37">IF(AT48&lt;&gt;0,AT48,1000000)</f>
        <v>999998.95</v>
      </c>
      <c r="AV48" s="146">
        <f t="shared" ref="AV48:AV67" si="38">AU48-AU$47</f>
        <v>999990.14999999991</v>
      </c>
      <c r="AW48">
        <f t="shared" ref="AW48:AW67" si="39">IF(AV48&lt;&gt;0,AV48,1000000)</f>
        <v>999990.14999999991</v>
      </c>
      <c r="BE48" s="41" t="s">
        <v>119</v>
      </c>
      <c r="BI48" s="86" t="s">
        <v>120</v>
      </c>
      <c r="BJ48" s="86" t="s">
        <v>121</v>
      </c>
      <c r="BK48" s="86" t="s">
        <v>122</v>
      </c>
      <c r="BL48" s="41"/>
      <c r="BM48" s="41"/>
      <c r="BN48" s="41" t="s">
        <v>123</v>
      </c>
      <c r="BO48" s="41"/>
      <c r="BP48" s="41"/>
      <c r="BW48" t="s">
        <v>124</v>
      </c>
    </row>
    <row r="49" spans="26:75" x14ac:dyDescent="0.2">
      <c r="Z49" s="212" t="e">
        <f ca="1"/>
        <v>#NAME?</v>
      </c>
      <c r="AA49" s="209" t="e">
        <f ca="1"/>
        <v>#NAME?</v>
      </c>
      <c r="AB49" s="209" t="e">
        <f ca="1"/>
        <v>#NAME?</v>
      </c>
      <c r="AC49" s="209" t="e">
        <f t="shared" ca="1" si="29"/>
        <v>#NAME?</v>
      </c>
      <c r="AD49" s="209"/>
      <c r="AE49" s="211" t="e">
        <f ca="1">IF(AC49&gt;$AG$4,0,IF(AC49&lt;AA50,"Exclude 6 lowest candidates",0))</f>
        <v>#NAME?</v>
      </c>
      <c r="AF49" s="209"/>
      <c r="AG49" s="209"/>
      <c r="AJ49" t="str">
        <f t="shared" si="30"/>
        <v xml:space="preserve">Cusack, Shauna </v>
      </c>
      <c r="AK49" s="146">
        <f t="shared" si="30"/>
        <v>1131.3499999999999</v>
      </c>
      <c r="AL49">
        <f t="shared" ref="AL49:AL67" si="40">IF(AK49&lt;&gt;0,AK49,1000000)</f>
        <v>1131.3499999999999</v>
      </c>
      <c r="AM49" s="146">
        <f t="shared" si="31"/>
        <v>637.84999999999991</v>
      </c>
      <c r="AN49">
        <f t="shared" ref="AN49:AN67" si="41">IF(AM49&lt;&gt;0,AM49,1000000)</f>
        <v>637.84999999999991</v>
      </c>
      <c r="AO49" s="146">
        <f t="shared" si="32"/>
        <v>396.64999999999986</v>
      </c>
      <c r="AP49">
        <f t="shared" si="33"/>
        <v>396.64999999999986</v>
      </c>
      <c r="AQ49" s="146">
        <f t="shared" si="34"/>
        <v>1.0499999999997272</v>
      </c>
      <c r="AR49">
        <f t="shared" si="35"/>
        <v>1.0499999999997272</v>
      </c>
      <c r="AT49" s="146">
        <f t="shared" si="36"/>
        <v>0</v>
      </c>
      <c r="AU49">
        <f t="shared" si="37"/>
        <v>1000000</v>
      </c>
      <c r="AV49" s="146">
        <f t="shared" si="38"/>
        <v>999991.2</v>
      </c>
      <c r="AW49">
        <f t="shared" si="39"/>
        <v>999991.2</v>
      </c>
      <c r="BE49" s="54">
        <f>IF($BH5="y",$BE5,IF($BH6="y",$BE6,IF($BH7="y",$BE7,IF($BH8="y",$BE8,IF($BH9="y",$BE9,IF($BH10="y",$BE10,0))))))</f>
        <v>0</v>
      </c>
      <c r="BG49" s="157" t="str">
        <f t="shared" ref="BG49:BG68" si="42">BE5</f>
        <v>Barr, Lilian Seenoi</v>
      </c>
      <c r="BH49" s="159"/>
      <c r="BI49" s="54">
        <f t="shared" ref="BI49:BI68" si="43">IF(BE5=0,0,IF(BE5=BA$8,-BC$12,0))</f>
        <v>0</v>
      </c>
      <c r="BJ49" s="54">
        <f t="shared" ref="BJ49:BJ68" si="44">BN49</f>
        <v>0</v>
      </c>
      <c r="BK49" s="54">
        <f t="shared" ref="BK49:BK68" si="45">BG5+CE8+BJ49+BI49</f>
        <v>47</v>
      </c>
      <c r="BN49" s="54">
        <f>IF(BP8="y",-BO8,0)</f>
        <v>0</v>
      </c>
      <c r="BW49" s="54">
        <f>IF(BP8="y",BO8,0)</f>
        <v>0</v>
      </c>
    </row>
    <row r="50" spans="26:75" x14ac:dyDescent="0.2">
      <c r="Z50" s="212" t="e">
        <f ca="1"/>
        <v>#NAME?</v>
      </c>
      <c r="AA50" s="209" t="e">
        <f ca="1"/>
        <v>#NAME?</v>
      </c>
      <c r="AB50" s="209" t="e">
        <f ca="1"/>
        <v>#NAME?</v>
      </c>
      <c r="AC50" s="209" t="e">
        <f t="shared" ca="1" si="29"/>
        <v>#NAME?</v>
      </c>
      <c r="AD50" s="209"/>
      <c r="AE50" s="211" t="e">
        <f ca="1">IF(AC50&gt;$AG$4,0,IF(AC50&lt;AA51,"Exclude 7 lowest candidates",0))</f>
        <v>#NAME?</v>
      </c>
      <c r="AF50" s="209"/>
      <c r="AG50" s="209"/>
      <c r="AJ50" t="str">
        <f t="shared" si="30"/>
        <v>Harkin, Shaun</v>
      </c>
      <c r="AK50" s="146">
        <f t="shared" si="30"/>
        <v>1140.1500000000001</v>
      </c>
      <c r="AL50">
        <f t="shared" si="40"/>
        <v>1140.1500000000001</v>
      </c>
      <c r="AM50" s="146">
        <f t="shared" si="31"/>
        <v>646.65000000000009</v>
      </c>
      <c r="AN50">
        <f t="shared" si="41"/>
        <v>646.65000000000009</v>
      </c>
      <c r="AO50" s="146">
        <f t="shared" si="32"/>
        <v>405.45000000000005</v>
      </c>
      <c r="AP50">
        <f t="shared" si="33"/>
        <v>405.45000000000005</v>
      </c>
      <c r="AQ50" s="146">
        <f t="shared" si="34"/>
        <v>9.8499999999999091</v>
      </c>
      <c r="AR50">
        <f t="shared" si="35"/>
        <v>9.8499999999999091</v>
      </c>
      <c r="AT50" s="146">
        <f t="shared" si="36"/>
        <v>8.8000000000001819</v>
      </c>
      <c r="AU50">
        <f t="shared" si="37"/>
        <v>8.8000000000001819</v>
      </c>
      <c r="AV50" s="146">
        <f t="shared" si="38"/>
        <v>0</v>
      </c>
      <c r="AW50">
        <f t="shared" si="39"/>
        <v>1000000</v>
      </c>
      <c r="BE50" s="54">
        <f>IF($BH11="y",$BE11,IF($BH12="y",$BE12,IF($BH13="y",$BE13,IF($BH14="y",$BE14,IF($BH15="y",$BE15,IF($BH16="y",$BE16,0))))))</f>
        <v>0</v>
      </c>
      <c r="BG50" s="165" t="str">
        <f t="shared" si="42"/>
        <v xml:space="preserve">Cusack, Shauna </v>
      </c>
      <c r="BH50" s="166"/>
      <c r="BI50" s="54">
        <f t="shared" si="43"/>
        <v>0</v>
      </c>
      <c r="BJ50" s="54">
        <f t="shared" si="44"/>
        <v>0</v>
      </c>
      <c r="BK50" s="54">
        <f t="shared" si="45"/>
        <v>69</v>
      </c>
      <c r="BN50" s="54">
        <f t="shared" ref="BN50:BN68" si="46">IF(BP9="y",-BO9,0)</f>
        <v>0</v>
      </c>
      <c r="BW50" s="54">
        <f t="shared" ref="BW50:BW68" si="47">IF(BP9="y",BO9,0)</f>
        <v>0</v>
      </c>
    </row>
    <row r="51" spans="26:75" ht="12.75" customHeight="1" x14ac:dyDescent="0.2">
      <c r="Z51" s="212" t="e">
        <f ca="1"/>
        <v>#NAME?</v>
      </c>
      <c r="AA51" s="209" t="e">
        <f ca="1"/>
        <v>#NAME?</v>
      </c>
      <c r="AB51" s="209" t="e">
        <f ca="1"/>
        <v>#NAME?</v>
      </c>
      <c r="AC51" s="209" t="e">
        <f t="shared" ca="1" si="29"/>
        <v>#NAME?</v>
      </c>
      <c r="AD51" s="209"/>
      <c r="AE51" s="211" t="e">
        <f ca="1">IF(AC51&gt;$AG$4,0,IF(AC51&lt;AA52,"Exclude 8 lowest candidates",0))</f>
        <v>#NAME?</v>
      </c>
      <c r="AF51" s="209"/>
      <c r="AG51" s="209"/>
      <c r="AJ51" t="str">
        <f t="shared" si="30"/>
        <v xml:space="preserve">Heaney, Conor </v>
      </c>
      <c r="AK51" s="146">
        <f t="shared" si="30"/>
        <v>1194</v>
      </c>
      <c r="AL51">
        <f t="shared" si="40"/>
        <v>1194</v>
      </c>
      <c r="AM51" s="146">
        <f t="shared" si="31"/>
        <v>700.5</v>
      </c>
      <c r="AN51">
        <f t="shared" si="41"/>
        <v>700.5</v>
      </c>
      <c r="AO51" s="146">
        <f t="shared" si="32"/>
        <v>459.29999999999995</v>
      </c>
      <c r="AP51">
        <f t="shared" si="33"/>
        <v>459.29999999999995</v>
      </c>
      <c r="AQ51" s="146">
        <f t="shared" si="34"/>
        <v>63.699999999999818</v>
      </c>
      <c r="AR51">
        <f t="shared" si="35"/>
        <v>63.699999999999818</v>
      </c>
      <c r="AT51" s="146">
        <f t="shared" si="36"/>
        <v>62.650000000000091</v>
      </c>
      <c r="AU51">
        <f t="shared" si="37"/>
        <v>62.650000000000091</v>
      </c>
      <c r="AV51" s="146">
        <f t="shared" si="38"/>
        <v>53.849999999999909</v>
      </c>
      <c r="AW51">
        <f t="shared" si="39"/>
        <v>53.849999999999909</v>
      </c>
      <c r="BE51" s="54">
        <f>IF($BH17="y",$BE17,IF($BH18="y",$BE18,IF($BH19="y",$BE19,IF($BH20="y",$BE20,IF($BH21="y",$BE21,IF($BH22="y",$BE22,0))))))</f>
        <v>0</v>
      </c>
      <c r="BG51" s="165" t="str">
        <f t="shared" si="42"/>
        <v>Harkin, Shaun</v>
      </c>
      <c r="BH51" s="166"/>
      <c r="BI51" s="54">
        <f t="shared" si="43"/>
        <v>0</v>
      </c>
      <c r="BJ51" s="54">
        <f t="shared" si="44"/>
        <v>0</v>
      </c>
      <c r="BK51" s="54">
        <f t="shared" si="45"/>
        <v>99</v>
      </c>
      <c r="BN51" s="54">
        <f t="shared" si="46"/>
        <v>0</v>
      </c>
      <c r="BW51" s="54">
        <f t="shared" si="47"/>
        <v>0</v>
      </c>
    </row>
    <row r="52" spans="26:75" x14ac:dyDescent="0.2">
      <c r="Z52" s="212" t="e">
        <f ca="1"/>
        <v>#NAME?</v>
      </c>
      <c r="AA52" s="209" t="e">
        <f ca="1"/>
        <v>#NAME?</v>
      </c>
      <c r="AB52" s="209" t="e">
        <f ca="1"/>
        <v>#NAME?</v>
      </c>
      <c r="AC52" s="209" t="e">
        <f t="shared" ca="1" si="29"/>
        <v>#NAME?</v>
      </c>
      <c r="AD52" s="209"/>
      <c r="AE52" s="211" t="e">
        <f ca="1">IF(AC52&gt;$AG$4,0,IF(AC52&lt;AA53,"Exclude 9 lowest candidates",0))</f>
        <v>#NAME?</v>
      </c>
      <c r="AF52" s="209"/>
      <c r="AG52" s="209"/>
      <c r="AJ52" t="str">
        <f t="shared" si="30"/>
        <v xml:space="preserve">Mac Cearáin, Seán </v>
      </c>
      <c r="AK52" s="146">
        <f t="shared" si="30"/>
        <v>493.5</v>
      </c>
      <c r="AL52">
        <f t="shared" si="40"/>
        <v>493.5</v>
      </c>
      <c r="AM52" s="146">
        <f t="shared" si="31"/>
        <v>0</v>
      </c>
      <c r="AN52">
        <f t="shared" si="41"/>
        <v>1000000</v>
      </c>
      <c r="AO52" s="146">
        <f t="shared" si="32"/>
        <v>999758.8</v>
      </c>
      <c r="AP52">
        <f t="shared" si="33"/>
        <v>999758.8</v>
      </c>
      <c r="AQ52" s="146">
        <f t="shared" si="34"/>
        <v>999363.20000000007</v>
      </c>
      <c r="AR52">
        <f t="shared" si="35"/>
        <v>999363.20000000007</v>
      </c>
      <c r="AT52" s="146">
        <f t="shared" si="36"/>
        <v>999362.15</v>
      </c>
      <c r="AU52">
        <f t="shared" si="37"/>
        <v>999362.15</v>
      </c>
      <c r="AV52" s="146">
        <f t="shared" si="38"/>
        <v>999353.35</v>
      </c>
      <c r="AW52">
        <f t="shared" si="39"/>
        <v>999353.35</v>
      </c>
      <c r="BE52" s="54">
        <f>IF($BH23="y",$BE23,IF($BH24="y",$BE24,0))</f>
        <v>0</v>
      </c>
      <c r="BG52" s="165" t="str">
        <f t="shared" si="42"/>
        <v xml:space="preserve">Heaney, Conor </v>
      </c>
      <c r="BH52" s="166"/>
      <c r="BI52" s="54">
        <f t="shared" si="43"/>
        <v>0</v>
      </c>
      <c r="BJ52" s="54">
        <f t="shared" si="44"/>
        <v>0</v>
      </c>
      <c r="BK52" s="54">
        <f t="shared" si="45"/>
        <v>0</v>
      </c>
      <c r="BN52" s="54">
        <f t="shared" si="46"/>
        <v>0</v>
      </c>
      <c r="BW52" s="54">
        <f t="shared" si="47"/>
        <v>0</v>
      </c>
    </row>
    <row r="53" spans="26:75" x14ac:dyDescent="0.2">
      <c r="Z53" s="212" t="e">
        <f ca="1"/>
        <v>#NAME?</v>
      </c>
      <c r="AA53" s="209" t="e">
        <f ca="1"/>
        <v>#NAME?</v>
      </c>
      <c r="AB53" s="209" t="e">
        <f ca="1"/>
        <v>#NAME?</v>
      </c>
      <c r="AC53" s="209" t="e">
        <f t="shared" ca="1" si="29"/>
        <v>#NAME?</v>
      </c>
      <c r="AD53" s="209"/>
      <c r="AE53" s="211" t="e">
        <f ca="1">IF(AC53&gt;$AG$4,0,IF(AC53&lt;AA54,"Exclude 10 lowest candidates",0))</f>
        <v>#NAME?</v>
      </c>
      <c r="AF53" s="209"/>
      <c r="AG53" s="209"/>
      <c r="AJ53" t="str">
        <f t="shared" si="30"/>
        <v xml:space="preserve">Mc Callion, Stephen </v>
      </c>
      <c r="AK53" s="146">
        <f t="shared" si="30"/>
        <v>734.7</v>
      </c>
      <c r="AL53">
        <f t="shared" si="40"/>
        <v>734.7</v>
      </c>
      <c r="AM53" s="146">
        <f t="shared" si="31"/>
        <v>241.20000000000005</v>
      </c>
      <c r="AN53">
        <f t="shared" si="41"/>
        <v>241.20000000000005</v>
      </c>
      <c r="AO53" s="146">
        <f t="shared" si="32"/>
        <v>0</v>
      </c>
      <c r="AP53">
        <f t="shared" si="33"/>
        <v>1000000</v>
      </c>
      <c r="AQ53" s="146">
        <f t="shared" si="34"/>
        <v>999604.4</v>
      </c>
      <c r="AR53">
        <f t="shared" si="35"/>
        <v>999604.4</v>
      </c>
      <c r="AT53" s="146">
        <f t="shared" si="36"/>
        <v>999603.35</v>
      </c>
      <c r="AU53">
        <f t="shared" si="37"/>
        <v>999603.35</v>
      </c>
      <c r="AV53" s="146">
        <f t="shared" si="38"/>
        <v>999594.54999999993</v>
      </c>
      <c r="AW53">
        <f t="shared" si="39"/>
        <v>999594.54999999993</v>
      </c>
      <c r="BG53" s="165" t="str">
        <f t="shared" si="42"/>
        <v xml:space="preserve">Mac Cearáin, Seán </v>
      </c>
      <c r="BH53" s="166"/>
      <c r="BI53" s="54">
        <f t="shared" si="43"/>
        <v>0</v>
      </c>
      <c r="BJ53" s="54">
        <f t="shared" si="44"/>
        <v>-493.5</v>
      </c>
      <c r="BK53" s="54">
        <f t="shared" si="45"/>
        <v>-493.5</v>
      </c>
      <c r="BN53" s="54">
        <f t="shared" si="46"/>
        <v>-493.5</v>
      </c>
      <c r="BW53" s="54">
        <f t="shared" si="47"/>
        <v>493.5</v>
      </c>
    </row>
    <row r="54" spans="26:75" x14ac:dyDescent="0.2">
      <c r="Z54" s="212" t="e">
        <f ca="1"/>
        <v>#NAME?</v>
      </c>
      <c r="AA54" s="209" t="e">
        <f ca="1"/>
        <v>#NAME?</v>
      </c>
      <c r="AB54" s="209" t="e">
        <f ca="1"/>
        <v>#NAME?</v>
      </c>
      <c r="AC54" s="209" t="e">
        <f t="shared" ca="1" si="29"/>
        <v>#NAME?</v>
      </c>
      <c r="AD54" s="209"/>
      <c r="AE54" s="211" t="e">
        <f ca="1">IF(AC54&gt;$AG$4,0,IF(AC54&lt;AA55,"Exclude 11 lowest candidates",0))</f>
        <v>#NAME?</v>
      </c>
      <c r="AF54" s="209"/>
      <c r="AG54" s="209"/>
      <c r="AJ54" t="str">
        <f t="shared" si="30"/>
        <v xml:space="preserve">McCloskey, Danny </v>
      </c>
      <c r="AK54" s="146">
        <f t="shared" si="30"/>
        <v>0</v>
      </c>
      <c r="AL54">
        <f t="shared" si="40"/>
        <v>1000000</v>
      </c>
      <c r="AM54" s="146">
        <f t="shared" si="31"/>
        <v>999506.5</v>
      </c>
      <c r="AN54">
        <f t="shared" si="41"/>
        <v>999506.5</v>
      </c>
      <c r="AO54" s="146">
        <f t="shared" si="32"/>
        <v>999265.3</v>
      </c>
      <c r="AP54">
        <f t="shared" si="33"/>
        <v>999265.3</v>
      </c>
      <c r="AQ54" s="146">
        <f t="shared" si="34"/>
        <v>998869.70000000007</v>
      </c>
      <c r="AR54">
        <f t="shared" si="35"/>
        <v>998869.70000000007</v>
      </c>
      <c r="AT54" s="146">
        <f t="shared" si="36"/>
        <v>998868.65</v>
      </c>
      <c r="AU54">
        <f t="shared" si="37"/>
        <v>998868.65</v>
      </c>
      <c r="AV54" s="146">
        <f t="shared" si="38"/>
        <v>998859.85</v>
      </c>
      <c r="AW54">
        <f t="shared" si="39"/>
        <v>998859.85</v>
      </c>
      <c r="BG54" s="165" t="str">
        <f t="shared" si="42"/>
        <v xml:space="preserve">Mc Callion, Stephen </v>
      </c>
      <c r="BH54" s="166"/>
      <c r="BI54" s="54">
        <f t="shared" si="43"/>
        <v>0</v>
      </c>
      <c r="BJ54" s="54">
        <f t="shared" si="44"/>
        <v>0</v>
      </c>
      <c r="BK54" s="54">
        <f t="shared" si="45"/>
        <v>43</v>
      </c>
      <c r="BN54" s="54">
        <f t="shared" si="46"/>
        <v>0</v>
      </c>
      <c r="BW54" s="54">
        <f t="shared" si="47"/>
        <v>0</v>
      </c>
    </row>
    <row r="55" spans="26:75" x14ac:dyDescent="0.2">
      <c r="Z55" s="212" t="e">
        <f ca="1"/>
        <v>#NAME?</v>
      </c>
      <c r="AA55" s="209" t="e">
        <f ca="1"/>
        <v>#NAME?</v>
      </c>
      <c r="AB55" s="209" t="e">
        <f ca="1"/>
        <v>#NAME?</v>
      </c>
      <c r="AC55" s="209" t="e">
        <f t="shared" ca="1" si="29"/>
        <v>#NAME?</v>
      </c>
      <c r="AD55" s="209"/>
      <c r="AE55" s="211" t="e">
        <f ca="1">IF(AC55&gt;$AG$4,0,IF(AC55&lt;AA56,"Exclude 12 lowest candidates",0))</f>
        <v>#NAME?</v>
      </c>
      <c r="AF55" s="209"/>
      <c r="AG55" s="209"/>
      <c r="AJ55" t="str">
        <f t="shared" si="30"/>
        <v xml:space="preserve">Uí Niallais, Grace </v>
      </c>
      <c r="AK55" s="146">
        <f t="shared" si="30"/>
        <v>1194</v>
      </c>
      <c r="AL55">
        <f t="shared" si="40"/>
        <v>1194</v>
      </c>
      <c r="AM55" s="146">
        <f t="shared" si="31"/>
        <v>700.5</v>
      </c>
      <c r="AN55">
        <f t="shared" si="41"/>
        <v>700.5</v>
      </c>
      <c r="AO55" s="146">
        <f t="shared" si="32"/>
        <v>459.29999999999995</v>
      </c>
      <c r="AP55">
        <f t="shared" si="33"/>
        <v>459.29999999999995</v>
      </c>
      <c r="AQ55" s="146">
        <f t="shared" si="34"/>
        <v>63.699999999999818</v>
      </c>
      <c r="AR55">
        <f t="shared" si="35"/>
        <v>63.699999999999818</v>
      </c>
      <c r="AT55" s="146">
        <f t="shared" si="36"/>
        <v>62.650000000000091</v>
      </c>
      <c r="AU55">
        <f t="shared" si="37"/>
        <v>62.650000000000091</v>
      </c>
      <c r="AV55" s="146">
        <f t="shared" si="38"/>
        <v>53.849999999999909</v>
      </c>
      <c r="AW55">
        <f t="shared" si="39"/>
        <v>53.849999999999909</v>
      </c>
      <c r="BG55" s="165" t="str">
        <f t="shared" si="42"/>
        <v xml:space="preserve">McCloskey, Danny </v>
      </c>
      <c r="BH55" s="166"/>
      <c r="BI55" s="54">
        <f t="shared" si="43"/>
        <v>0</v>
      </c>
      <c r="BJ55" s="54">
        <f t="shared" si="44"/>
        <v>0</v>
      </c>
      <c r="BK55" s="54">
        <f t="shared" si="45"/>
        <v>0</v>
      </c>
      <c r="BN55" s="54">
        <f t="shared" si="46"/>
        <v>0</v>
      </c>
      <c r="BW55" s="54">
        <f t="shared" si="47"/>
        <v>0</v>
      </c>
    </row>
    <row r="56" spans="26:75" x14ac:dyDescent="0.2">
      <c r="Z56" s="212" t="e">
        <f ca="1"/>
        <v>#NAME?</v>
      </c>
      <c r="AA56" s="209" t="e">
        <f ca="1"/>
        <v>#NAME?</v>
      </c>
      <c r="AB56" s="209" t="e">
        <f ca="1"/>
        <v>#NAME?</v>
      </c>
      <c r="AC56" s="209" t="e">
        <f t="shared" ca="1" si="29"/>
        <v>#NAME?</v>
      </c>
      <c r="AD56" s="209"/>
      <c r="AE56" s="211" t="e">
        <f ca="1">IF(AC56&gt;$AG$4,0,IF(AC56&lt;AA57,"Exclude 13 lowest candidates",0))</f>
        <v>#NAME?</v>
      </c>
      <c r="AF56" s="209"/>
      <c r="AG56" s="209"/>
      <c r="AJ56">
        <f t="shared" si="30"/>
        <v>0</v>
      </c>
      <c r="AK56" s="146">
        <f t="shared" si="30"/>
        <v>0</v>
      </c>
      <c r="AL56">
        <f t="shared" si="40"/>
        <v>1000000</v>
      </c>
      <c r="AM56" s="146">
        <f t="shared" si="31"/>
        <v>999506.5</v>
      </c>
      <c r="AN56">
        <f t="shared" si="41"/>
        <v>999506.5</v>
      </c>
      <c r="AO56" s="146">
        <f t="shared" si="32"/>
        <v>999265.3</v>
      </c>
      <c r="AP56">
        <f t="shared" si="33"/>
        <v>999265.3</v>
      </c>
      <c r="AQ56" s="146">
        <f t="shared" si="34"/>
        <v>998869.70000000007</v>
      </c>
      <c r="AR56">
        <f t="shared" si="35"/>
        <v>998869.70000000007</v>
      </c>
      <c r="AT56" s="146">
        <f t="shared" si="36"/>
        <v>998868.65</v>
      </c>
      <c r="AU56">
        <f t="shared" si="37"/>
        <v>998868.65</v>
      </c>
      <c r="AV56" s="146">
        <f t="shared" si="38"/>
        <v>998859.85</v>
      </c>
      <c r="AW56">
        <f t="shared" si="39"/>
        <v>998859.85</v>
      </c>
      <c r="BG56" s="165" t="str">
        <f t="shared" si="42"/>
        <v xml:space="preserve">Uí Niallais, Grace </v>
      </c>
      <c r="BH56" s="166"/>
      <c r="BI56" s="54">
        <f t="shared" si="43"/>
        <v>0</v>
      </c>
      <c r="BJ56" s="54">
        <f t="shared" si="44"/>
        <v>0</v>
      </c>
      <c r="BK56" s="54">
        <f t="shared" si="45"/>
        <v>0</v>
      </c>
      <c r="BN56" s="54">
        <f t="shared" si="46"/>
        <v>0</v>
      </c>
      <c r="BW56" s="54">
        <f t="shared" si="47"/>
        <v>0</v>
      </c>
    </row>
    <row r="57" spans="26:75" x14ac:dyDescent="0.2">
      <c r="Z57" s="212" t="e">
        <f ca="1"/>
        <v>#NAME?</v>
      </c>
      <c r="AA57" s="209" t="e">
        <f ca="1"/>
        <v>#NAME?</v>
      </c>
      <c r="AB57" s="209" t="e">
        <f ca="1"/>
        <v>#NAME?</v>
      </c>
      <c r="AC57" s="209" t="e">
        <f t="shared" ca="1" si="29"/>
        <v>#NAME?</v>
      </c>
      <c r="AD57" s="209"/>
      <c r="AE57" s="211" t="e">
        <f ca="1">IF(AC57&gt;$AG$4,0,IF(AC57&lt;AA58,"Exclude 14 lowest candidates",0))</f>
        <v>#NAME?</v>
      </c>
      <c r="AF57" s="209"/>
      <c r="AG57" s="209"/>
      <c r="AJ57">
        <f t="shared" si="30"/>
        <v>0</v>
      </c>
      <c r="AK57" s="146">
        <f t="shared" si="30"/>
        <v>0</v>
      </c>
      <c r="AL57">
        <f t="shared" si="40"/>
        <v>1000000</v>
      </c>
      <c r="AM57" s="146">
        <f t="shared" si="31"/>
        <v>999506.5</v>
      </c>
      <c r="AN57">
        <f t="shared" si="41"/>
        <v>999506.5</v>
      </c>
      <c r="AO57" s="146">
        <f t="shared" si="32"/>
        <v>999265.3</v>
      </c>
      <c r="AP57">
        <f t="shared" si="33"/>
        <v>999265.3</v>
      </c>
      <c r="AQ57" s="146">
        <f t="shared" si="34"/>
        <v>998869.70000000007</v>
      </c>
      <c r="AR57">
        <f t="shared" si="35"/>
        <v>998869.70000000007</v>
      </c>
      <c r="AT57" s="146">
        <f t="shared" si="36"/>
        <v>998868.65</v>
      </c>
      <c r="AU57">
        <f t="shared" si="37"/>
        <v>998868.65</v>
      </c>
      <c r="AV57" s="146">
        <f t="shared" si="38"/>
        <v>998859.85</v>
      </c>
      <c r="AW57">
        <f t="shared" si="39"/>
        <v>998859.85</v>
      </c>
      <c r="BG57" s="165">
        <f t="shared" si="42"/>
        <v>0</v>
      </c>
      <c r="BH57" s="166"/>
      <c r="BI57" s="54">
        <f t="shared" si="43"/>
        <v>0</v>
      </c>
      <c r="BJ57" s="54">
        <f t="shared" si="44"/>
        <v>0</v>
      </c>
      <c r="BK57" s="54">
        <f t="shared" si="45"/>
        <v>0</v>
      </c>
      <c r="BN57" s="54">
        <f t="shared" si="46"/>
        <v>0</v>
      </c>
      <c r="BW57" s="54">
        <f t="shared" si="47"/>
        <v>0</v>
      </c>
    </row>
    <row r="58" spans="26:75" x14ac:dyDescent="0.2">
      <c r="Z58" s="212" t="e">
        <f ca="1"/>
        <v>#NAME?</v>
      </c>
      <c r="AA58" s="209" t="e">
        <f ca="1"/>
        <v>#NAME?</v>
      </c>
      <c r="AB58" s="209" t="e">
        <f ca="1"/>
        <v>#NAME?</v>
      </c>
      <c r="AC58" s="209" t="e">
        <f t="shared" ca="1" si="29"/>
        <v>#NAME?</v>
      </c>
      <c r="AD58" s="209"/>
      <c r="AE58" s="211" t="e">
        <f ca="1">IF(AC58&gt;$AG$4,0,IF(AC58&lt;AA59,"Exclude 15 lowest candidates",0))</f>
        <v>#NAME?</v>
      </c>
      <c r="AF58" s="209"/>
      <c r="AG58" s="209"/>
      <c r="AJ58">
        <f t="shared" si="30"/>
        <v>0</v>
      </c>
      <c r="AK58" s="146">
        <f t="shared" si="30"/>
        <v>0</v>
      </c>
      <c r="AL58">
        <f t="shared" si="40"/>
        <v>1000000</v>
      </c>
      <c r="AM58" s="146">
        <f t="shared" si="31"/>
        <v>999506.5</v>
      </c>
      <c r="AN58">
        <f t="shared" si="41"/>
        <v>999506.5</v>
      </c>
      <c r="AO58" s="146">
        <f t="shared" si="32"/>
        <v>999265.3</v>
      </c>
      <c r="AP58">
        <f t="shared" si="33"/>
        <v>999265.3</v>
      </c>
      <c r="AQ58" s="146">
        <f t="shared" si="34"/>
        <v>998869.70000000007</v>
      </c>
      <c r="AR58">
        <f t="shared" si="35"/>
        <v>998869.70000000007</v>
      </c>
      <c r="AT58" s="146">
        <f t="shared" si="36"/>
        <v>998868.65</v>
      </c>
      <c r="AU58">
        <f t="shared" si="37"/>
        <v>998868.65</v>
      </c>
      <c r="AV58" s="146">
        <f t="shared" si="38"/>
        <v>998859.85</v>
      </c>
      <c r="AW58">
        <f t="shared" si="39"/>
        <v>998859.85</v>
      </c>
      <c r="BG58" s="165">
        <f t="shared" si="42"/>
        <v>0</v>
      </c>
      <c r="BH58" s="166"/>
      <c r="BI58" s="54">
        <f t="shared" si="43"/>
        <v>0</v>
      </c>
      <c r="BJ58" s="54">
        <f t="shared" si="44"/>
        <v>0</v>
      </c>
      <c r="BK58" s="54">
        <f t="shared" si="45"/>
        <v>0</v>
      </c>
      <c r="BN58" s="54">
        <f t="shared" si="46"/>
        <v>0</v>
      </c>
      <c r="BW58" s="54">
        <f t="shared" si="47"/>
        <v>0</v>
      </c>
    </row>
    <row r="59" spans="26:75" ht="12.75" customHeight="1" x14ac:dyDescent="0.2">
      <c r="Z59" s="212" t="e">
        <f ca="1"/>
        <v>#NAME?</v>
      </c>
      <c r="AA59" s="209" t="e">
        <f ca="1"/>
        <v>#NAME?</v>
      </c>
      <c r="AB59" s="209" t="e">
        <f ca="1"/>
        <v>#NAME?</v>
      </c>
      <c r="AC59" s="209" t="e">
        <f t="shared" ca="1" si="29"/>
        <v>#NAME?</v>
      </c>
      <c r="AD59" s="209"/>
      <c r="AE59" s="211" t="e">
        <f ca="1">IF(AC59&gt;$AG$4,0,IF(AC59&lt;AA60,"Exclude 16 lowest candidates",0))</f>
        <v>#NAME?</v>
      </c>
      <c r="AF59" s="209"/>
      <c r="AG59" s="209"/>
      <c r="AJ59">
        <f t="shared" si="30"/>
        <v>0</v>
      </c>
      <c r="AK59" s="146">
        <f t="shared" si="30"/>
        <v>0</v>
      </c>
      <c r="AL59">
        <f t="shared" si="40"/>
        <v>1000000</v>
      </c>
      <c r="AM59" s="146">
        <f t="shared" si="31"/>
        <v>999506.5</v>
      </c>
      <c r="AN59">
        <f t="shared" si="41"/>
        <v>999506.5</v>
      </c>
      <c r="AO59" s="146">
        <f t="shared" si="32"/>
        <v>999265.3</v>
      </c>
      <c r="AP59">
        <f t="shared" si="33"/>
        <v>999265.3</v>
      </c>
      <c r="AQ59" s="146">
        <f t="shared" si="34"/>
        <v>998869.70000000007</v>
      </c>
      <c r="AR59">
        <f t="shared" si="35"/>
        <v>998869.70000000007</v>
      </c>
      <c r="AT59" s="146">
        <f t="shared" si="36"/>
        <v>998868.65</v>
      </c>
      <c r="AU59">
        <f t="shared" si="37"/>
        <v>998868.65</v>
      </c>
      <c r="AV59" s="146">
        <f t="shared" si="38"/>
        <v>998859.85</v>
      </c>
      <c r="AW59">
        <f t="shared" si="39"/>
        <v>998859.85</v>
      </c>
      <c r="BG59" s="165">
        <f t="shared" si="42"/>
        <v>0</v>
      </c>
      <c r="BH59" s="166"/>
      <c r="BI59" s="54">
        <f t="shared" si="43"/>
        <v>0</v>
      </c>
      <c r="BJ59" s="54">
        <f t="shared" si="44"/>
        <v>0</v>
      </c>
      <c r="BK59" s="54">
        <f t="shared" si="45"/>
        <v>0</v>
      </c>
      <c r="BN59" s="54">
        <f t="shared" si="46"/>
        <v>0</v>
      </c>
      <c r="BW59" s="54">
        <f t="shared" si="47"/>
        <v>0</v>
      </c>
    </row>
    <row r="60" spans="26:75" ht="12.75" customHeight="1" x14ac:dyDescent="0.2">
      <c r="Z60" s="212" t="e">
        <f ca="1"/>
        <v>#NAME?</v>
      </c>
      <c r="AA60" s="209" t="e">
        <f ca="1"/>
        <v>#NAME?</v>
      </c>
      <c r="AB60" s="209" t="e">
        <f ca="1"/>
        <v>#NAME?</v>
      </c>
      <c r="AC60" s="209" t="e">
        <f t="shared" ca="1" si="29"/>
        <v>#NAME?</v>
      </c>
      <c r="AD60" s="209"/>
      <c r="AE60" s="211" t="e">
        <f ca="1">IF(AC60&gt;$AG$4,0,IF(AC60&lt;AA61,"Exclude 17 lowest candidates",0))</f>
        <v>#NAME?</v>
      </c>
      <c r="AF60" s="209"/>
      <c r="AG60" s="209"/>
      <c r="AJ60">
        <f t="shared" si="30"/>
        <v>0</v>
      </c>
      <c r="AK60" s="146">
        <f t="shared" si="30"/>
        <v>0</v>
      </c>
      <c r="AL60">
        <f t="shared" si="40"/>
        <v>1000000</v>
      </c>
      <c r="AM60" s="146">
        <f t="shared" si="31"/>
        <v>999506.5</v>
      </c>
      <c r="AN60">
        <f t="shared" si="41"/>
        <v>999506.5</v>
      </c>
      <c r="AO60" s="146">
        <f t="shared" si="32"/>
        <v>999265.3</v>
      </c>
      <c r="AP60">
        <f t="shared" si="33"/>
        <v>999265.3</v>
      </c>
      <c r="AQ60" s="146">
        <f t="shared" si="34"/>
        <v>998869.70000000007</v>
      </c>
      <c r="AR60">
        <f t="shared" si="35"/>
        <v>998869.70000000007</v>
      </c>
      <c r="AT60" s="146">
        <f t="shared" si="36"/>
        <v>998868.65</v>
      </c>
      <c r="AU60">
        <f t="shared" si="37"/>
        <v>998868.65</v>
      </c>
      <c r="AV60" s="146">
        <f t="shared" si="38"/>
        <v>998859.85</v>
      </c>
      <c r="AW60">
        <f t="shared" si="39"/>
        <v>998859.85</v>
      </c>
      <c r="BG60" s="165">
        <f t="shared" si="42"/>
        <v>0</v>
      </c>
      <c r="BH60" s="166"/>
      <c r="BI60" s="54">
        <f t="shared" si="43"/>
        <v>0</v>
      </c>
      <c r="BJ60" s="54">
        <f t="shared" si="44"/>
        <v>0</v>
      </c>
      <c r="BK60" s="54">
        <f t="shared" si="45"/>
        <v>0</v>
      </c>
      <c r="BN60" s="54">
        <f t="shared" si="46"/>
        <v>0</v>
      </c>
      <c r="BW60" s="54">
        <f t="shared" si="47"/>
        <v>0</v>
      </c>
    </row>
    <row r="61" spans="26:75" x14ac:dyDescent="0.2">
      <c r="Z61" s="212" t="e">
        <f ca="1"/>
        <v>#NAME?</v>
      </c>
      <c r="AA61" s="209" t="e">
        <f ca="1"/>
        <v>#NAME?</v>
      </c>
      <c r="AB61" s="209" t="e">
        <f ca="1"/>
        <v>#NAME?</v>
      </c>
      <c r="AC61" s="209" t="e">
        <f t="shared" ca="1" si="29"/>
        <v>#NAME?</v>
      </c>
      <c r="AD61" s="209"/>
      <c r="AE61" s="211" t="e">
        <f ca="1">IF(AC61&gt;$AG$4,0,IF(AC61&lt;AA62,"Exclude 18 lowest candidates",0))</f>
        <v>#NAME?</v>
      </c>
      <c r="AF61" s="209"/>
      <c r="AG61" s="209"/>
      <c r="AJ61">
        <f t="shared" si="30"/>
        <v>0</v>
      </c>
      <c r="AK61" s="146">
        <f t="shared" si="30"/>
        <v>0</v>
      </c>
      <c r="AL61">
        <f t="shared" si="40"/>
        <v>1000000</v>
      </c>
      <c r="AM61" s="146">
        <f t="shared" si="31"/>
        <v>999506.5</v>
      </c>
      <c r="AN61">
        <f t="shared" si="41"/>
        <v>999506.5</v>
      </c>
      <c r="AO61" s="146">
        <f t="shared" si="32"/>
        <v>999265.3</v>
      </c>
      <c r="AP61">
        <f t="shared" si="33"/>
        <v>999265.3</v>
      </c>
      <c r="AQ61" s="146">
        <f t="shared" si="34"/>
        <v>998869.70000000007</v>
      </c>
      <c r="AR61">
        <f t="shared" si="35"/>
        <v>998869.70000000007</v>
      </c>
      <c r="AT61" s="146">
        <f t="shared" si="36"/>
        <v>998868.65</v>
      </c>
      <c r="AU61">
        <f t="shared" si="37"/>
        <v>998868.65</v>
      </c>
      <c r="AV61" s="146">
        <f t="shared" si="38"/>
        <v>998859.85</v>
      </c>
      <c r="AW61">
        <f t="shared" si="39"/>
        <v>998859.85</v>
      </c>
      <c r="BG61" s="165">
        <f t="shared" si="42"/>
        <v>0</v>
      </c>
      <c r="BH61" s="166"/>
      <c r="BI61" s="54">
        <f t="shared" si="43"/>
        <v>0</v>
      </c>
      <c r="BJ61" s="54">
        <f t="shared" si="44"/>
        <v>0</v>
      </c>
      <c r="BK61" s="54">
        <f t="shared" si="45"/>
        <v>0</v>
      </c>
      <c r="BN61" s="54">
        <f t="shared" si="46"/>
        <v>0</v>
      </c>
      <c r="BW61" s="54">
        <f t="shared" si="47"/>
        <v>0</v>
      </c>
    </row>
    <row r="62" spans="26:75" x14ac:dyDescent="0.2">
      <c r="Z62" s="212" t="e">
        <f ca="1"/>
        <v>#NAME?</v>
      </c>
      <c r="AA62" s="209" t="e">
        <f ca="1"/>
        <v>#NAME?</v>
      </c>
      <c r="AB62" s="209" t="e">
        <f ca="1"/>
        <v>#NAME?</v>
      </c>
      <c r="AC62" s="209" t="e">
        <f t="shared" ca="1" si="29"/>
        <v>#NAME?</v>
      </c>
      <c r="AD62" s="209"/>
      <c r="AE62" s="211" t="e">
        <f ca="1">IF(AC62&gt;$AG$4,0,IF(AC62&lt;AA63,"Exclude 19 lowest candidates",0))</f>
        <v>#NAME?</v>
      </c>
      <c r="AF62" s="209"/>
      <c r="AG62" s="209"/>
      <c r="AJ62">
        <f t="shared" si="30"/>
        <v>0</v>
      </c>
      <c r="AK62" s="146">
        <f t="shared" si="30"/>
        <v>0</v>
      </c>
      <c r="AL62">
        <f t="shared" si="40"/>
        <v>1000000</v>
      </c>
      <c r="AM62" s="146">
        <f t="shared" si="31"/>
        <v>999506.5</v>
      </c>
      <c r="AN62">
        <f t="shared" si="41"/>
        <v>999506.5</v>
      </c>
      <c r="AO62" s="146">
        <f t="shared" si="32"/>
        <v>999265.3</v>
      </c>
      <c r="AP62">
        <f t="shared" si="33"/>
        <v>999265.3</v>
      </c>
      <c r="AQ62" s="146">
        <f t="shared" si="34"/>
        <v>998869.70000000007</v>
      </c>
      <c r="AR62">
        <f t="shared" si="35"/>
        <v>998869.70000000007</v>
      </c>
      <c r="AT62" s="146">
        <f t="shared" si="36"/>
        <v>998868.65</v>
      </c>
      <c r="AU62">
        <f t="shared" si="37"/>
        <v>998868.65</v>
      </c>
      <c r="AV62" s="146">
        <f t="shared" si="38"/>
        <v>998859.85</v>
      </c>
      <c r="AW62">
        <f t="shared" si="39"/>
        <v>998859.85</v>
      </c>
      <c r="BG62" s="165">
        <f t="shared" si="42"/>
        <v>0</v>
      </c>
      <c r="BH62" s="166"/>
      <c r="BI62" s="54">
        <f t="shared" si="43"/>
        <v>0</v>
      </c>
      <c r="BJ62" s="54">
        <f t="shared" si="44"/>
        <v>0</v>
      </c>
      <c r="BK62" s="54">
        <f t="shared" si="45"/>
        <v>0</v>
      </c>
      <c r="BN62" s="54">
        <f t="shared" si="46"/>
        <v>0</v>
      </c>
      <c r="BW62" s="54">
        <f t="shared" si="47"/>
        <v>0</v>
      </c>
    </row>
    <row r="63" spans="26:75" ht="13.5" customHeight="1" x14ac:dyDescent="0.2">
      <c r="Z63" s="212" t="e">
        <f ca="1"/>
        <v>#NAME?</v>
      </c>
      <c r="AA63" s="209" t="e">
        <f ca="1"/>
        <v>#NAME?</v>
      </c>
      <c r="AB63" s="209" t="e">
        <f ca="1"/>
        <v>#NAME?</v>
      </c>
      <c r="AC63" s="209" t="e">
        <f t="shared" ca="1" si="29"/>
        <v>#NAME?</v>
      </c>
      <c r="AD63" s="209"/>
      <c r="AE63" s="211" t="e">
        <f ca="1">IF(AC63&gt;$AG$4,0,IF(AC63&lt;AA64,"Exclude 20 lowest candidates",0))</f>
        <v>#NAME?</v>
      </c>
      <c r="AF63" s="209"/>
      <c r="AG63" s="209"/>
      <c r="AJ63">
        <f t="shared" si="30"/>
        <v>0</v>
      </c>
      <c r="AK63" s="146">
        <f t="shared" si="30"/>
        <v>0</v>
      </c>
      <c r="AL63">
        <f t="shared" si="40"/>
        <v>1000000</v>
      </c>
      <c r="AM63" s="146">
        <f t="shared" si="31"/>
        <v>999506.5</v>
      </c>
      <c r="AN63">
        <f t="shared" si="41"/>
        <v>999506.5</v>
      </c>
      <c r="AO63" s="146">
        <f t="shared" si="32"/>
        <v>999265.3</v>
      </c>
      <c r="AP63">
        <f t="shared" si="33"/>
        <v>999265.3</v>
      </c>
      <c r="AQ63" s="146">
        <f t="shared" si="34"/>
        <v>998869.70000000007</v>
      </c>
      <c r="AR63">
        <f t="shared" si="35"/>
        <v>998869.70000000007</v>
      </c>
      <c r="AT63" s="146">
        <f t="shared" si="36"/>
        <v>998868.65</v>
      </c>
      <c r="AU63">
        <f t="shared" si="37"/>
        <v>998868.65</v>
      </c>
      <c r="AV63" s="146">
        <f t="shared" si="38"/>
        <v>998859.85</v>
      </c>
      <c r="AW63">
        <f t="shared" si="39"/>
        <v>998859.85</v>
      </c>
      <c r="BG63" s="165">
        <f t="shared" si="42"/>
        <v>0</v>
      </c>
      <c r="BH63" s="166"/>
      <c r="BI63" s="54">
        <f t="shared" si="43"/>
        <v>0</v>
      </c>
      <c r="BJ63" s="54">
        <f t="shared" si="44"/>
        <v>0</v>
      </c>
      <c r="BK63" s="54">
        <f t="shared" si="45"/>
        <v>0</v>
      </c>
      <c r="BN63" s="54">
        <f t="shared" si="46"/>
        <v>0</v>
      </c>
      <c r="BW63" s="54">
        <f t="shared" si="47"/>
        <v>0</v>
      </c>
    </row>
    <row r="64" spans="26:75" ht="15" customHeight="1" x14ac:dyDescent="0.2">
      <c r="AJ64">
        <f t="shared" ref="AJ64:AK67" si="48">Z30</f>
        <v>0</v>
      </c>
      <c r="AK64" s="146">
        <f t="shared" si="48"/>
        <v>0</v>
      </c>
      <c r="AL64">
        <f t="shared" si="40"/>
        <v>1000000</v>
      </c>
      <c r="AM64" s="146">
        <f t="shared" si="31"/>
        <v>999506.5</v>
      </c>
      <c r="AN64">
        <f t="shared" si="41"/>
        <v>999506.5</v>
      </c>
      <c r="AO64" s="146">
        <f t="shared" si="32"/>
        <v>999265.3</v>
      </c>
      <c r="AP64">
        <f t="shared" si="33"/>
        <v>999265.3</v>
      </c>
      <c r="AQ64" s="146">
        <f t="shared" si="34"/>
        <v>998869.70000000007</v>
      </c>
      <c r="AR64">
        <f t="shared" si="35"/>
        <v>998869.70000000007</v>
      </c>
      <c r="AT64" s="146">
        <f t="shared" si="36"/>
        <v>998868.65</v>
      </c>
      <c r="AU64">
        <f t="shared" si="37"/>
        <v>998868.65</v>
      </c>
      <c r="AV64" s="146">
        <f t="shared" si="38"/>
        <v>998859.85</v>
      </c>
      <c r="AW64">
        <f t="shared" si="39"/>
        <v>998859.85</v>
      </c>
      <c r="BG64" s="165">
        <f t="shared" si="42"/>
        <v>0</v>
      </c>
      <c r="BH64" s="166"/>
      <c r="BI64" s="54">
        <f t="shared" si="43"/>
        <v>0</v>
      </c>
      <c r="BJ64" s="54">
        <f t="shared" si="44"/>
        <v>0</v>
      </c>
      <c r="BK64" s="54">
        <f t="shared" si="45"/>
        <v>0</v>
      </c>
      <c r="BN64" s="54">
        <f t="shared" si="46"/>
        <v>0</v>
      </c>
      <c r="BW64" s="54">
        <f t="shared" si="47"/>
        <v>0</v>
      </c>
    </row>
    <row r="65" spans="36:75" x14ac:dyDescent="0.2">
      <c r="AJ65">
        <f t="shared" si="48"/>
        <v>0</v>
      </c>
      <c r="AK65" s="146">
        <f t="shared" si="48"/>
        <v>0</v>
      </c>
      <c r="AL65">
        <f t="shared" si="40"/>
        <v>1000000</v>
      </c>
      <c r="AM65" s="146">
        <f t="shared" si="31"/>
        <v>999506.5</v>
      </c>
      <c r="AN65">
        <f t="shared" si="41"/>
        <v>999506.5</v>
      </c>
      <c r="AO65" s="146">
        <f t="shared" si="32"/>
        <v>999265.3</v>
      </c>
      <c r="AP65">
        <f t="shared" si="33"/>
        <v>999265.3</v>
      </c>
      <c r="AQ65" s="146">
        <f t="shared" si="34"/>
        <v>998869.70000000007</v>
      </c>
      <c r="AR65">
        <f t="shared" si="35"/>
        <v>998869.70000000007</v>
      </c>
      <c r="AT65" s="146">
        <f t="shared" si="36"/>
        <v>998868.65</v>
      </c>
      <c r="AU65">
        <f t="shared" si="37"/>
        <v>998868.65</v>
      </c>
      <c r="AV65" s="146">
        <f t="shared" si="38"/>
        <v>998859.85</v>
      </c>
      <c r="AW65">
        <f t="shared" si="39"/>
        <v>998859.85</v>
      </c>
      <c r="BG65" s="165">
        <f t="shared" si="42"/>
        <v>0</v>
      </c>
      <c r="BH65" s="166"/>
      <c r="BI65" s="54">
        <f t="shared" si="43"/>
        <v>0</v>
      </c>
      <c r="BJ65" s="54">
        <f t="shared" si="44"/>
        <v>0</v>
      </c>
      <c r="BK65" s="54">
        <f t="shared" si="45"/>
        <v>0</v>
      </c>
      <c r="BN65" s="54">
        <f t="shared" si="46"/>
        <v>0</v>
      </c>
      <c r="BW65" s="54">
        <f t="shared" si="47"/>
        <v>0</v>
      </c>
    </row>
    <row r="66" spans="36:75" ht="14.25" customHeight="1" x14ac:dyDescent="0.2">
      <c r="AJ66">
        <f t="shared" si="48"/>
        <v>0</v>
      </c>
      <c r="AK66" s="146">
        <f t="shared" si="48"/>
        <v>0</v>
      </c>
      <c r="AL66">
        <f t="shared" si="40"/>
        <v>1000000</v>
      </c>
      <c r="AM66" s="146">
        <f t="shared" si="31"/>
        <v>999506.5</v>
      </c>
      <c r="AN66">
        <f t="shared" si="41"/>
        <v>999506.5</v>
      </c>
      <c r="AO66" s="146">
        <f t="shared" si="32"/>
        <v>999265.3</v>
      </c>
      <c r="AP66">
        <f t="shared" si="33"/>
        <v>999265.3</v>
      </c>
      <c r="AQ66" s="146">
        <f t="shared" si="34"/>
        <v>998869.70000000007</v>
      </c>
      <c r="AR66">
        <f t="shared" si="35"/>
        <v>998869.70000000007</v>
      </c>
      <c r="AT66" s="146">
        <f t="shared" si="36"/>
        <v>998868.65</v>
      </c>
      <c r="AU66">
        <f t="shared" si="37"/>
        <v>998868.65</v>
      </c>
      <c r="AV66" s="146">
        <f t="shared" si="38"/>
        <v>998859.85</v>
      </c>
      <c r="AW66">
        <f t="shared" si="39"/>
        <v>998859.85</v>
      </c>
      <c r="BG66" s="165">
        <f t="shared" si="42"/>
        <v>0</v>
      </c>
      <c r="BH66" s="166"/>
      <c r="BI66" s="54">
        <f t="shared" si="43"/>
        <v>0</v>
      </c>
      <c r="BJ66" s="54">
        <f t="shared" si="44"/>
        <v>0</v>
      </c>
      <c r="BK66" s="54">
        <f t="shared" si="45"/>
        <v>0</v>
      </c>
      <c r="BN66" s="54">
        <f t="shared" si="46"/>
        <v>0</v>
      </c>
      <c r="BW66" s="54">
        <f t="shared" si="47"/>
        <v>0</v>
      </c>
    </row>
    <row r="67" spans="36:75" x14ac:dyDescent="0.2">
      <c r="AJ67">
        <f t="shared" si="48"/>
        <v>0</v>
      </c>
      <c r="AK67" s="146">
        <f t="shared" si="48"/>
        <v>0</v>
      </c>
      <c r="AL67">
        <f t="shared" si="40"/>
        <v>1000000</v>
      </c>
      <c r="AM67" s="146">
        <f t="shared" si="31"/>
        <v>999506.5</v>
      </c>
      <c r="AN67">
        <f t="shared" si="41"/>
        <v>999506.5</v>
      </c>
      <c r="AO67" s="146">
        <f t="shared" si="32"/>
        <v>999265.3</v>
      </c>
      <c r="AP67">
        <f t="shared" si="33"/>
        <v>999265.3</v>
      </c>
      <c r="AQ67" s="146">
        <f t="shared" si="34"/>
        <v>998869.70000000007</v>
      </c>
      <c r="AR67">
        <f t="shared" si="35"/>
        <v>998869.70000000007</v>
      </c>
      <c r="AT67" s="146">
        <f t="shared" si="36"/>
        <v>998868.65</v>
      </c>
      <c r="AU67">
        <f t="shared" si="37"/>
        <v>998868.65</v>
      </c>
      <c r="AV67" s="146">
        <f t="shared" si="38"/>
        <v>998859.85</v>
      </c>
      <c r="AW67">
        <f t="shared" si="39"/>
        <v>998859.85</v>
      </c>
      <c r="BG67" s="165">
        <f t="shared" si="42"/>
        <v>0</v>
      </c>
      <c r="BH67" s="166"/>
      <c r="BI67" s="54">
        <f t="shared" si="43"/>
        <v>0</v>
      </c>
      <c r="BJ67" s="54">
        <f t="shared" si="44"/>
        <v>0</v>
      </c>
      <c r="BK67" s="54">
        <f t="shared" si="45"/>
        <v>0</v>
      </c>
      <c r="BN67" s="54">
        <f t="shared" si="46"/>
        <v>0</v>
      </c>
      <c r="BW67" s="54">
        <f t="shared" si="47"/>
        <v>0</v>
      </c>
    </row>
    <row r="68" spans="36:75" x14ac:dyDescent="0.2">
      <c r="BG68" s="176">
        <f t="shared" si="42"/>
        <v>0</v>
      </c>
      <c r="BH68" s="178"/>
      <c r="BI68" s="54">
        <f t="shared" si="43"/>
        <v>0</v>
      </c>
      <c r="BJ68" s="54">
        <f t="shared" si="44"/>
        <v>0</v>
      </c>
      <c r="BK68" s="54">
        <f t="shared" si="45"/>
        <v>0</v>
      </c>
      <c r="BN68" s="54">
        <f t="shared" si="46"/>
        <v>0</v>
      </c>
      <c r="BW68" s="54">
        <f t="shared" si="47"/>
        <v>0</v>
      </c>
    </row>
    <row r="69" spans="36:75" ht="12.75" customHeight="1" x14ac:dyDescent="0.2">
      <c r="BG69" t="s">
        <v>125</v>
      </c>
      <c r="BI69" s="54">
        <f>BG26</f>
        <v>0</v>
      </c>
      <c r="BJ69" s="54">
        <f>CE28</f>
        <v>165</v>
      </c>
      <c r="BK69" s="54">
        <f>BI69+BJ69</f>
        <v>165</v>
      </c>
      <c r="BW69" s="54">
        <f>SUM(BW49:BW68)</f>
        <v>493.5</v>
      </c>
    </row>
    <row r="70" spans="36:75" x14ac:dyDescent="0.2">
      <c r="BK70" s="54">
        <f>BG27+CE29</f>
        <v>423</v>
      </c>
    </row>
    <row r="82" spans="41:46" x14ac:dyDescent="0.2">
      <c r="AO82" s="54">
        <f>IF(AO20&lt;&gt;0,1,0)</f>
        <v>1</v>
      </c>
      <c r="AP82" s="54"/>
      <c r="AQ82" s="54">
        <f t="shared" ref="AQ82:AR88" si="49">IF(AQ20&lt;&gt;0,1,0)</f>
        <v>0</v>
      </c>
      <c r="AR82" s="183">
        <f t="shared" si="49"/>
        <v>0</v>
      </c>
      <c r="AS82" s="183"/>
      <c r="AT82" s="54">
        <f>SUM(AO82:AR82)</f>
        <v>1</v>
      </c>
    </row>
    <row r="83" spans="41:46" x14ac:dyDescent="0.2">
      <c r="AO83" s="54">
        <f t="shared" ref="AO83:AO88" si="50">IF(AO21&lt;&gt;0,1,0)</f>
        <v>0</v>
      </c>
      <c r="AP83" s="54"/>
      <c r="AQ83" s="54">
        <f t="shared" si="49"/>
        <v>0</v>
      </c>
      <c r="AR83" s="183">
        <f t="shared" si="49"/>
        <v>0</v>
      </c>
      <c r="AS83" s="183"/>
      <c r="AT83" s="54">
        <f t="shared" ref="AT83:AT88" si="51">SUM(AO83:AR83)</f>
        <v>0</v>
      </c>
    </row>
    <row r="84" spans="41:46" x14ac:dyDescent="0.2">
      <c r="AO84" s="54">
        <f t="shared" si="50"/>
        <v>0</v>
      </c>
      <c r="AP84" s="54"/>
      <c r="AQ84" s="54">
        <f t="shared" si="49"/>
        <v>0</v>
      </c>
      <c r="AR84" s="183">
        <f t="shared" si="49"/>
        <v>0</v>
      </c>
      <c r="AS84" s="183"/>
      <c r="AT84" s="54">
        <f t="shared" si="51"/>
        <v>0</v>
      </c>
    </row>
    <row r="85" spans="41:46" x14ac:dyDescent="0.2">
      <c r="AO85" s="54">
        <f t="shared" si="50"/>
        <v>0</v>
      </c>
      <c r="AP85" s="54"/>
      <c r="AQ85" s="54">
        <f t="shared" si="49"/>
        <v>0</v>
      </c>
      <c r="AR85" s="183">
        <f t="shared" si="49"/>
        <v>0</v>
      </c>
      <c r="AS85" s="183"/>
      <c r="AT85" s="54">
        <f t="shared" si="51"/>
        <v>0</v>
      </c>
    </row>
    <row r="86" spans="41:46" x14ac:dyDescent="0.2">
      <c r="AO86" s="54">
        <f t="shared" si="50"/>
        <v>0</v>
      </c>
      <c r="AP86" s="54"/>
      <c r="AQ86" s="54">
        <f t="shared" si="49"/>
        <v>0</v>
      </c>
      <c r="AR86" s="183">
        <f t="shared" si="49"/>
        <v>0</v>
      </c>
      <c r="AS86" s="183"/>
      <c r="AT86" s="54">
        <f t="shared" si="51"/>
        <v>0</v>
      </c>
    </row>
    <row r="87" spans="41:46" x14ac:dyDescent="0.2">
      <c r="AO87" s="54">
        <f t="shared" si="50"/>
        <v>0</v>
      </c>
      <c r="AP87" s="54"/>
      <c r="AQ87" s="54">
        <f t="shared" si="49"/>
        <v>0</v>
      </c>
      <c r="AR87" s="183">
        <f t="shared" si="49"/>
        <v>0</v>
      </c>
      <c r="AS87" s="183"/>
      <c r="AT87" s="54">
        <f t="shared" si="51"/>
        <v>0</v>
      </c>
    </row>
    <row r="88" spans="41:46" x14ac:dyDescent="0.2">
      <c r="AO88" s="54">
        <f t="shared" si="50"/>
        <v>0</v>
      </c>
      <c r="AP88" s="54"/>
      <c r="AQ88" s="54">
        <f t="shared" si="49"/>
        <v>0</v>
      </c>
      <c r="AR88" s="183">
        <f t="shared" si="49"/>
        <v>0</v>
      </c>
      <c r="AS88" s="183"/>
      <c r="AT88" s="54">
        <f t="shared" si="51"/>
        <v>0</v>
      </c>
    </row>
    <row r="89" spans="41:46" x14ac:dyDescent="0.2">
      <c r="AT89" s="54">
        <f>SUM(AT82:AT88)</f>
        <v>1</v>
      </c>
    </row>
    <row r="114" ht="12.75" customHeight="1" x14ac:dyDescent="0.2"/>
    <row r="209" spans="105:110" ht="19.5" x14ac:dyDescent="0.4">
      <c r="DA209" s="213" t="str">
        <f>A1 &amp; " - " &amp;A2&amp;" "&amp;D2</f>
        <v xml:space="preserve">Local Council Elections 2023 - District Electoral Area of Foyleside </v>
      </c>
      <c r="DB209" s="214"/>
      <c r="DC209" s="214"/>
      <c r="DD209" s="214"/>
      <c r="DE209" s="215"/>
      <c r="DF209" s="216"/>
    </row>
    <row r="210" spans="105:110" ht="58.5" x14ac:dyDescent="0.4">
      <c r="DA210" s="217" t="s">
        <v>126</v>
      </c>
      <c r="DB210" s="217" t="s">
        <v>61</v>
      </c>
      <c r="DC210" s="217" t="s">
        <v>127</v>
      </c>
      <c r="DD210" s="217" t="s">
        <v>63</v>
      </c>
      <c r="DE210" s="217" t="s">
        <v>128</v>
      </c>
      <c r="DF210" s="217" t="s">
        <v>129</v>
      </c>
    </row>
    <row r="211" spans="105:110" ht="15" x14ac:dyDescent="0.2">
      <c r="DA211" s="218" t="str">
        <f>IF(A11="Elected","E",IF(A11="Excluded","Excluded",""))&amp;IF(B11&gt;0,B11,"")</f>
        <v>E</v>
      </c>
      <c r="DB211" s="218" t="str">
        <f>C11</f>
        <v>Barr, Lilian Seenoi</v>
      </c>
      <c r="DC211" s="218" t="str">
        <f>D11</f>
        <v>SDLP</v>
      </c>
      <c r="DD211" s="219">
        <f>E11</f>
        <v>960</v>
      </c>
      <c r="DE211" s="219">
        <f>L11</f>
        <v>47</v>
      </c>
      <c r="DF211" s="219">
        <f>M11</f>
        <v>1177.3000000000002</v>
      </c>
    </row>
    <row r="212" spans="105:110" ht="15" x14ac:dyDescent="0.2">
      <c r="DA212" s="218" t="str">
        <f t="shared" ref="DA212:DA230" si="52">IF(A12="Elected","E",IF(A12="Excluded","Excluded",""))&amp;IF(B12&gt;0,B12,"")</f>
        <v>E</v>
      </c>
      <c r="DB212" s="218" t="str">
        <f t="shared" ref="DB212:DD227" si="53">C12</f>
        <v xml:space="preserve">Cusack, Shauna </v>
      </c>
      <c r="DC212" s="218" t="str">
        <f t="shared" si="53"/>
        <v>SDLP</v>
      </c>
      <c r="DD212" s="219">
        <f t="shared" si="53"/>
        <v>948</v>
      </c>
      <c r="DE212" s="219">
        <f t="shared" ref="DE212:DF227" si="54">L12</f>
        <v>69</v>
      </c>
      <c r="DF212" s="219">
        <f t="shared" si="54"/>
        <v>1200.3499999999999</v>
      </c>
    </row>
    <row r="213" spans="105:110" ht="15" x14ac:dyDescent="0.2">
      <c r="DA213" s="218" t="str">
        <f t="shared" si="52"/>
        <v>E</v>
      </c>
      <c r="DB213" s="218" t="str">
        <f t="shared" si="53"/>
        <v>Harkin, Shaun</v>
      </c>
      <c r="DC213" s="218" t="str">
        <f t="shared" si="53"/>
        <v xml:space="preserve">People Before Profit Alliance </v>
      </c>
      <c r="DD213" s="219">
        <f t="shared" si="53"/>
        <v>979</v>
      </c>
      <c r="DE213" s="219">
        <f t="shared" si="54"/>
        <v>99</v>
      </c>
      <c r="DF213" s="219">
        <f t="shared" si="54"/>
        <v>1239.1500000000001</v>
      </c>
    </row>
    <row r="214" spans="105:110" ht="15" x14ac:dyDescent="0.2">
      <c r="DA214" s="218" t="str">
        <f t="shared" si="52"/>
        <v>E</v>
      </c>
      <c r="DB214" s="218" t="str">
        <f t="shared" si="53"/>
        <v xml:space="preserve">Heaney, Conor </v>
      </c>
      <c r="DC214" s="218" t="str">
        <f t="shared" si="53"/>
        <v xml:space="preserve">Sinn Féin </v>
      </c>
      <c r="DD214" s="219">
        <f t="shared" si="53"/>
        <v>1846</v>
      </c>
      <c r="DE214" s="219">
        <f t="shared" si="54"/>
        <v>0</v>
      </c>
      <c r="DF214" s="219">
        <f t="shared" si="54"/>
        <v>1194</v>
      </c>
    </row>
    <row r="215" spans="105:110" ht="15" x14ac:dyDescent="0.2">
      <c r="DA215" s="218" t="str">
        <f t="shared" si="52"/>
        <v>Excluded</v>
      </c>
      <c r="DB215" s="218" t="str">
        <f t="shared" si="53"/>
        <v xml:space="preserve">Mac Cearáin, Seán </v>
      </c>
      <c r="DC215" s="218" t="str">
        <f t="shared" si="53"/>
        <v>Aontú for Life, Unity, Economic Justice</v>
      </c>
      <c r="DD215" s="219">
        <f t="shared" si="53"/>
        <v>423</v>
      </c>
      <c r="DE215" s="219">
        <f t="shared" si="54"/>
        <v>-493.5</v>
      </c>
      <c r="DF215" s="219">
        <f t="shared" si="54"/>
        <v>0</v>
      </c>
    </row>
    <row r="216" spans="105:110" ht="15" x14ac:dyDescent="0.2">
      <c r="DA216" s="218" t="str">
        <f t="shared" si="52"/>
        <v/>
      </c>
      <c r="DB216" s="218" t="str">
        <f t="shared" si="53"/>
        <v xml:space="preserve">Mc Callion, Stephen </v>
      </c>
      <c r="DC216" s="218" t="str">
        <f t="shared" si="53"/>
        <v>SDLP</v>
      </c>
      <c r="DD216" s="219">
        <f t="shared" si="53"/>
        <v>626</v>
      </c>
      <c r="DE216" s="219">
        <f t="shared" si="54"/>
        <v>43</v>
      </c>
      <c r="DF216" s="219">
        <f t="shared" si="54"/>
        <v>777.7</v>
      </c>
    </row>
    <row r="217" spans="105:110" ht="15" x14ac:dyDescent="0.2">
      <c r="DA217" s="218" t="str">
        <f t="shared" si="52"/>
        <v>Excluded</v>
      </c>
      <c r="DB217" s="218" t="str">
        <f t="shared" si="53"/>
        <v xml:space="preserve">McCloskey, Danny </v>
      </c>
      <c r="DC217" s="218" t="str">
        <f t="shared" si="53"/>
        <v xml:space="preserve">Alliance Party </v>
      </c>
      <c r="DD217" s="219">
        <f t="shared" si="53"/>
        <v>266</v>
      </c>
      <c r="DE217" s="219">
        <f t="shared" si="54"/>
        <v>0</v>
      </c>
      <c r="DF217" s="219">
        <f t="shared" si="54"/>
        <v>0</v>
      </c>
    </row>
    <row r="218" spans="105:110" ht="15" x14ac:dyDescent="0.2">
      <c r="DA218" s="218" t="str">
        <f t="shared" si="52"/>
        <v>E</v>
      </c>
      <c r="DB218" s="218" t="str">
        <f t="shared" si="53"/>
        <v xml:space="preserve">Uí Niallais, Grace </v>
      </c>
      <c r="DC218" s="218" t="str">
        <f t="shared" si="53"/>
        <v xml:space="preserve">Sinn Féin </v>
      </c>
      <c r="DD218" s="219">
        <f t="shared" si="53"/>
        <v>1115</v>
      </c>
      <c r="DE218" s="219">
        <f t="shared" si="54"/>
        <v>0</v>
      </c>
      <c r="DF218" s="219">
        <f t="shared" si="54"/>
        <v>1194</v>
      </c>
    </row>
    <row r="219" spans="105:110" ht="15" x14ac:dyDescent="0.2">
      <c r="DA219" s="218" t="str">
        <f t="shared" si="52"/>
        <v/>
      </c>
      <c r="DB219" s="218">
        <f t="shared" si="53"/>
        <v>0</v>
      </c>
      <c r="DC219" s="218">
        <f t="shared" si="53"/>
        <v>0</v>
      </c>
      <c r="DD219" s="219">
        <f t="shared" si="53"/>
        <v>0</v>
      </c>
      <c r="DE219" s="219">
        <f t="shared" si="54"/>
        <v>0</v>
      </c>
      <c r="DF219" s="219">
        <f t="shared" si="54"/>
        <v>0</v>
      </c>
    </row>
    <row r="220" spans="105:110" ht="15" x14ac:dyDescent="0.2">
      <c r="DA220" s="218" t="str">
        <f t="shared" si="52"/>
        <v/>
      </c>
      <c r="DB220" s="218">
        <f t="shared" si="53"/>
        <v>0</v>
      </c>
      <c r="DC220" s="218">
        <f t="shared" si="53"/>
        <v>0</v>
      </c>
      <c r="DD220" s="219">
        <f t="shared" si="53"/>
        <v>0</v>
      </c>
      <c r="DE220" s="219">
        <f t="shared" si="54"/>
        <v>0</v>
      </c>
      <c r="DF220" s="219">
        <f t="shared" si="54"/>
        <v>0</v>
      </c>
    </row>
    <row r="221" spans="105:110" ht="15" x14ac:dyDescent="0.2">
      <c r="DA221" s="218" t="str">
        <f t="shared" si="52"/>
        <v/>
      </c>
      <c r="DB221" s="218">
        <f t="shared" si="53"/>
        <v>0</v>
      </c>
      <c r="DC221" s="218">
        <f t="shared" si="53"/>
        <v>0</v>
      </c>
      <c r="DD221" s="219">
        <f t="shared" si="53"/>
        <v>0</v>
      </c>
      <c r="DE221" s="219">
        <f t="shared" si="54"/>
        <v>0</v>
      </c>
      <c r="DF221" s="219">
        <f t="shared" si="54"/>
        <v>0</v>
      </c>
    </row>
    <row r="222" spans="105:110" ht="15" x14ac:dyDescent="0.2">
      <c r="DA222" s="218" t="str">
        <f t="shared" si="52"/>
        <v/>
      </c>
      <c r="DB222" s="218">
        <f t="shared" si="53"/>
        <v>0</v>
      </c>
      <c r="DC222" s="218">
        <f t="shared" si="53"/>
        <v>0</v>
      </c>
      <c r="DD222" s="219">
        <f t="shared" si="53"/>
        <v>0</v>
      </c>
      <c r="DE222" s="219">
        <f t="shared" si="54"/>
        <v>0</v>
      </c>
      <c r="DF222" s="219">
        <f t="shared" si="54"/>
        <v>0</v>
      </c>
    </row>
    <row r="223" spans="105:110" ht="15" x14ac:dyDescent="0.2">
      <c r="DA223" s="218" t="str">
        <f t="shared" si="52"/>
        <v/>
      </c>
      <c r="DB223" s="218">
        <f t="shared" si="53"/>
        <v>0</v>
      </c>
      <c r="DC223" s="218">
        <f t="shared" si="53"/>
        <v>0</v>
      </c>
      <c r="DD223" s="219">
        <f t="shared" si="53"/>
        <v>0</v>
      </c>
      <c r="DE223" s="219">
        <f t="shared" si="54"/>
        <v>0</v>
      </c>
      <c r="DF223" s="219">
        <f t="shared" si="54"/>
        <v>0</v>
      </c>
    </row>
    <row r="224" spans="105:110" ht="15" x14ac:dyDescent="0.2">
      <c r="DA224" s="218" t="str">
        <f t="shared" si="52"/>
        <v/>
      </c>
      <c r="DB224" s="218">
        <f t="shared" si="53"/>
        <v>0</v>
      </c>
      <c r="DC224" s="218">
        <f t="shared" si="53"/>
        <v>0</v>
      </c>
      <c r="DD224" s="219">
        <f t="shared" si="53"/>
        <v>0</v>
      </c>
      <c r="DE224" s="219">
        <f t="shared" si="54"/>
        <v>0</v>
      </c>
      <c r="DF224" s="219">
        <f t="shared" si="54"/>
        <v>0</v>
      </c>
    </row>
    <row r="225" spans="105:110" ht="15" x14ac:dyDescent="0.2">
      <c r="DA225" s="218" t="str">
        <f t="shared" si="52"/>
        <v/>
      </c>
      <c r="DB225" s="218">
        <f t="shared" si="53"/>
        <v>0</v>
      </c>
      <c r="DC225" s="218">
        <f t="shared" si="53"/>
        <v>0</v>
      </c>
      <c r="DD225" s="219">
        <f t="shared" si="53"/>
        <v>0</v>
      </c>
      <c r="DE225" s="219">
        <f t="shared" si="54"/>
        <v>0</v>
      </c>
      <c r="DF225" s="219">
        <f t="shared" si="54"/>
        <v>0</v>
      </c>
    </row>
    <row r="226" spans="105:110" ht="15" x14ac:dyDescent="0.2">
      <c r="DA226" s="218" t="str">
        <f t="shared" si="52"/>
        <v/>
      </c>
      <c r="DB226" s="218">
        <f t="shared" si="53"/>
        <v>0</v>
      </c>
      <c r="DC226" s="218">
        <f t="shared" si="53"/>
        <v>0</v>
      </c>
      <c r="DD226" s="219">
        <f t="shared" si="53"/>
        <v>0</v>
      </c>
      <c r="DE226" s="219">
        <f t="shared" si="54"/>
        <v>0</v>
      </c>
      <c r="DF226" s="219">
        <f t="shared" si="54"/>
        <v>0</v>
      </c>
    </row>
    <row r="227" spans="105:110" ht="15" x14ac:dyDescent="0.2">
      <c r="DA227" s="218" t="str">
        <f t="shared" si="52"/>
        <v/>
      </c>
      <c r="DB227" s="218">
        <f t="shared" si="53"/>
        <v>0</v>
      </c>
      <c r="DC227" s="218">
        <f t="shared" si="53"/>
        <v>0</v>
      </c>
      <c r="DD227" s="219">
        <f t="shared" si="53"/>
        <v>0</v>
      </c>
      <c r="DE227" s="219">
        <f t="shared" si="54"/>
        <v>0</v>
      </c>
      <c r="DF227" s="219">
        <f t="shared" si="54"/>
        <v>0</v>
      </c>
    </row>
    <row r="228" spans="105:110" ht="15" x14ac:dyDescent="0.2">
      <c r="DA228" s="218" t="str">
        <f t="shared" si="52"/>
        <v/>
      </c>
      <c r="DB228" s="218">
        <f t="shared" ref="DB228:DD230" si="55">C28</f>
        <v>0</v>
      </c>
      <c r="DC228" s="218">
        <f t="shared" si="55"/>
        <v>0</v>
      </c>
      <c r="DD228" s="219">
        <f t="shared" si="55"/>
        <v>0</v>
      </c>
      <c r="DE228" s="219">
        <f t="shared" ref="DE228:DF232" si="56">L28</f>
        <v>0</v>
      </c>
      <c r="DF228" s="219">
        <f t="shared" si="56"/>
        <v>0</v>
      </c>
    </row>
    <row r="229" spans="105:110" ht="15" x14ac:dyDescent="0.2">
      <c r="DA229" s="218" t="str">
        <f t="shared" si="52"/>
        <v/>
      </c>
      <c r="DB229" s="218">
        <f t="shared" si="55"/>
        <v>0</v>
      </c>
      <c r="DC229" s="218">
        <f t="shared" si="55"/>
        <v>0</v>
      </c>
      <c r="DD229" s="219">
        <f t="shared" si="55"/>
        <v>0</v>
      </c>
      <c r="DE229" s="219">
        <f t="shared" si="56"/>
        <v>0</v>
      </c>
      <c r="DF229" s="219">
        <f t="shared" si="56"/>
        <v>0</v>
      </c>
    </row>
    <row r="230" spans="105:110" ht="15" x14ac:dyDescent="0.2">
      <c r="DA230" s="218" t="str">
        <f t="shared" si="52"/>
        <v/>
      </c>
      <c r="DB230" s="218">
        <f t="shared" si="55"/>
        <v>0</v>
      </c>
      <c r="DC230" s="218">
        <f t="shared" si="55"/>
        <v>0</v>
      </c>
      <c r="DD230" s="219">
        <f t="shared" si="55"/>
        <v>0</v>
      </c>
      <c r="DE230" s="219">
        <f t="shared" si="56"/>
        <v>0</v>
      </c>
      <c r="DF230" s="219">
        <f t="shared" si="56"/>
        <v>0</v>
      </c>
    </row>
    <row r="231" spans="105:110" ht="15" x14ac:dyDescent="0.2">
      <c r="DC231" s="220" t="s">
        <v>101</v>
      </c>
      <c r="DD231" s="220"/>
      <c r="DE231" s="219">
        <f t="shared" si="56"/>
        <v>165</v>
      </c>
      <c r="DF231" s="219">
        <f t="shared" si="56"/>
        <v>310</v>
      </c>
    </row>
    <row r="232" spans="105:110" ht="15" x14ac:dyDescent="0.2">
      <c r="DC232" s="220" t="s">
        <v>130</v>
      </c>
      <c r="DD232" s="219">
        <f>E32</f>
        <v>7163</v>
      </c>
      <c r="DE232" s="220"/>
      <c r="DF232" s="219">
        <f t="shared" si="56"/>
        <v>7092.5</v>
      </c>
    </row>
  </sheetData>
  <protectedRanges>
    <protectedRange sqref="BT3:BZ3" name="Range20"/>
    <protectedRange sqref="BF26" name="Range7"/>
    <protectedRange sqref="BF5:BF24" name="Range6"/>
    <protectedRange sqref="BC13:BC14" name="Range5"/>
    <protectedRange sqref="BC10" name="Range4"/>
    <protectedRange sqref="M34:M36" name="Range1"/>
    <protectedRange sqref="BT3" name="Range8"/>
    <protectedRange sqref="BP8:BP27" name="Range9"/>
    <protectedRange sqref="BS8:BS28" name="Range10"/>
    <protectedRange sqref="BU8:BU28" name="Range11"/>
    <protectedRange sqref="BW8:BW28" name="Range12"/>
    <protectedRange sqref="BX6" name="Range13"/>
    <protectedRange sqref="BY8:BY28" name="Range14"/>
    <protectedRange sqref="BZ6" name="Range15"/>
    <protectedRange sqref="CA8:CA28" name="Range16"/>
    <protectedRange sqref="CB6" name="Range17"/>
    <protectedRange sqref="CC8:CC28" name="Range18"/>
    <protectedRange sqref="CD6" name="Range19"/>
    <protectedRange sqref="BH5:BH24" name="Range23"/>
    <protectedRange sqref="BH5:BH24" name="Range22"/>
    <protectedRange sqref="BH5:BH24" name="Range21"/>
    <protectedRange sqref="BH5:BH24" name="Range24"/>
    <protectedRange sqref="AQ5" name="Range3_1"/>
  </protectedRanges>
  <mergeCells count="83">
    <mergeCell ref="DE209:DF209"/>
    <mergeCell ref="AL28:AQ29"/>
    <mergeCell ref="BF30:BG32"/>
    <mergeCell ref="BI30:BK31"/>
    <mergeCell ref="BX30:BY32"/>
    <mergeCell ref="AL31:AQ32"/>
    <mergeCell ref="CB31:CE32"/>
    <mergeCell ref="AZ22:AZ23"/>
    <mergeCell ref="AJ23:AK23"/>
    <mergeCell ref="AO23:AP23"/>
    <mergeCell ref="AJ24:AK24"/>
    <mergeCell ref="AO24:AP24"/>
    <mergeCell ref="AJ25:AK25"/>
    <mergeCell ref="AO25:AP25"/>
    <mergeCell ref="AJ20:AK20"/>
    <mergeCell ref="AO20:AP20"/>
    <mergeCell ref="AJ21:AK21"/>
    <mergeCell ref="AO21:AP21"/>
    <mergeCell ref="AJ22:AK22"/>
    <mergeCell ref="AO22:AP22"/>
    <mergeCell ref="AK9:AP10"/>
    <mergeCell ref="AQ9:AR10"/>
    <mergeCell ref="AL13:AL17"/>
    <mergeCell ref="AM13:AM17"/>
    <mergeCell ref="AN13:AN19"/>
    <mergeCell ref="AO13:AO17"/>
    <mergeCell ref="AP13:AP17"/>
    <mergeCell ref="AQ13:AQ17"/>
    <mergeCell ref="V8:W8"/>
    <mergeCell ref="F9:G9"/>
    <mergeCell ref="H9:I9"/>
    <mergeCell ref="J9:K9"/>
    <mergeCell ref="L9:M9"/>
    <mergeCell ref="N9:O9"/>
    <mergeCell ref="P9:Q9"/>
    <mergeCell ref="R9:S9"/>
    <mergeCell ref="T9:U9"/>
    <mergeCell ref="T7:U7"/>
    <mergeCell ref="V7:W7"/>
    <mergeCell ref="F8:G8"/>
    <mergeCell ref="H8:I8"/>
    <mergeCell ref="J8:K8"/>
    <mergeCell ref="L8:M8"/>
    <mergeCell ref="N8:O8"/>
    <mergeCell ref="P8:Q8"/>
    <mergeCell ref="R8:S8"/>
    <mergeCell ref="T8:U8"/>
    <mergeCell ref="Z6:AF7"/>
    <mergeCell ref="AK6:AP7"/>
    <mergeCell ref="AQ6:AR7"/>
    <mergeCell ref="F7:G7"/>
    <mergeCell ref="H7:I7"/>
    <mergeCell ref="J7:K7"/>
    <mergeCell ref="L7:M7"/>
    <mergeCell ref="N7:O7"/>
    <mergeCell ref="P7:Q7"/>
    <mergeCell ref="R7:S7"/>
    <mergeCell ref="BP5:BP7"/>
    <mergeCell ref="F6:G6"/>
    <mergeCell ref="H6:I6"/>
    <mergeCell ref="J6:K6"/>
    <mergeCell ref="L6:M6"/>
    <mergeCell ref="N6:O6"/>
    <mergeCell ref="P6:Q6"/>
    <mergeCell ref="R6:S6"/>
    <mergeCell ref="T6:U6"/>
    <mergeCell ref="V6:W6"/>
    <mergeCell ref="BT3:BZ3"/>
    <mergeCell ref="E4:F4"/>
    <mergeCell ref="H4:I4"/>
    <mergeCell ref="O4:S4"/>
    <mergeCell ref="U4:W4"/>
    <mergeCell ref="Z4:AF4"/>
    <mergeCell ref="K1:L1"/>
    <mergeCell ref="O2:S2"/>
    <mergeCell ref="Z2:AF2"/>
    <mergeCell ref="CB2:CE2"/>
    <mergeCell ref="E3:F3"/>
    <mergeCell ref="H3:I3"/>
    <mergeCell ref="O3:S3"/>
    <mergeCell ref="Z3:AF3"/>
    <mergeCell ref="AL3:AQ3"/>
    <mergeCell ref="BI3:BK3"/>
  </mergeCells>
  <conditionalFormatting sqref="AL3">
    <cfRule type="cellIs" dxfId="8" priority="1" stopIfTrue="1" operator="notEqual">
      <formula>0</formula>
    </cfRule>
  </conditionalFormatting>
  <conditionalFormatting sqref="BF30:BG31">
    <cfRule type="cellIs" dxfId="7" priority="2" stopIfTrue="1" operator="equal">
      <formula>"NONE"</formula>
    </cfRule>
    <cfRule type="cellIs" dxfId="6" priority="3" stopIfTrue="1" operator="notEqual">
      <formula>"NONE"</formula>
    </cfRule>
  </conditionalFormatting>
  <conditionalFormatting sqref="BX30">
    <cfRule type="cellIs" dxfId="5" priority="4" stopIfTrue="1" operator="equal">
      <formula>"Calculations OK"</formula>
    </cfRule>
    <cfRule type="cellIs" dxfId="4" priority="5" stopIfTrue="1" operator="equal">
      <formula>"Check Count for Error"</formula>
    </cfRule>
  </conditionalFormatting>
  <conditionalFormatting sqref="V4:W4">
    <cfRule type="cellIs" dxfId="3" priority="6" stopIfTrue="1" operator="equal">
      <formula>"Totals Correct"</formula>
    </cfRule>
    <cfRule type="cellIs" dxfId="2" priority="7" stopIfTrue="1" operator="equal">
      <formula>"ERROR"</formula>
    </cfRule>
  </conditionalFormatting>
  <conditionalFormatting sqref="U4">
    <cfRule type="cellIs" dxfId="1" priority="8" stopIfTrue="1" operator="equal">
      <formula>"OK TO MOVE TO NEXT STAGE"</formula>
    </cfRule>
    <cfRule type="cellIs" dxfId="0" priority="9" stopIfTrue="1" operator="equal">
      <formula>"DO NOT MOVE TO NEXT STAGE"</formula>
    </cfRule>
  </conditionalFormatting>
  <hyperlinks>
    <hyperlink ref="Z6:AF7" location="'Stage 4'!A1" display="BACK to Overview of STAGE 4"/>
    <hyperlink ref="AL28" location="'Stage 2'!BI1" display="MOVE TO TRANSFER OF SURPLUS VOTES FORM"/>
    <hyperlink ref="AL31" location="'Stage 2'!CC1" display="MOVE TO EXCLUDE CANDIDATE FORM"/>
    <hyperlink ref="AL28:AQ29" location="'Stage 5'!AY1:BK1" display="MOVE TO TRANSFER OF SURPLUS VOTES FORM"/>
    <hyperlink ref="AL31:AQ32" location="'Stage 5'!BN1:CE1" display="MOVE TO EXCLUDE CANDIDATE FORM"/>
    <hyperlink ref="BI3" location="'Stage 2'!AQ5" display="MOVE TO NEXT FORM"/>
    <hyperlink ref="BI3:BK3" location="'Stage 5'!Y1:AR1" display="BACK to DECISION FORM"/>
    <hyperlink ref="BI30:BK31" location="'Stage 5'!A1" display="FORWARD to OVERVIEW OF STAGE 5"/>
    <hyperlink ref="CB31" location="'Stage 2'!A1" display="HOME TO OVERVIEW OF STAGE 2"/>
    <hyperlink ref="CB31:CE32" location="'Stage 5'!A1" display="FORWARD to OVERVIEW OF STAGE 5"/>
    <hyperlink ref="CB2" location="'Stage 2'!AQ5" display="MOVE TO NEXT FORM"/>
    <hyperlink ref="CB2:CE2" location="'Stage 5'!Y1:AR1" display="BACK to DECISION FORM"/>
    <hyperlink ref="O4" location="'Stage 3'!A1" display="MOVE TO STAGE 3"/>
    <hyperlink ref="O2" location="'Stage 3'!A1" display="MOVE TO STAGE 3"/>
    <hyperlink ref="O2:S2" location="'Stage 5'!Y1:AR1" display="BACK to DECISION FORM Stage 5"/>
    <hyperlink ref="O4:S4" location="'Stage 6'!Y1:AR1" display="FORWARD TO STAGE 6"/>
  </hyperlinks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Stage 5</vt:lpstr>
    </vt:vector>
  </TitlesOfParts>
  <Company>EONI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McGrattan, Claire</dc:creator>
  <cp:lastModifiedBy>McGrattan, Claire</cp:lastModifiedBy>
  <dcterms:created xsi:type="dcterms:W3CDTF">2023-06-20T10:33:45Z</dcterms:created>
  <dcterms:modified xsi:type="dcterms:W3CDTF">2023-06-20T10:34:41Z</dcterms:modified>
</cp:coreProperties>
</file>