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BE1" i="1" s="1"/>
  <c r="BE5" i="1"/>
  <c r="BE6" i="1"/>
  <c r="BJ6" i="1"/>
  <c r="F7" i="1"/>
  <c r="H7" i="1"/>
  <c r="J7" i="1"/>
  <c r="L7" i="1"/>
  <c r="N7" i="1"/>
  <c r="P7" i="1"/>
  <c r="R7" i="1"/>
  <c r="T7" i="1"/>
  <c r="BE7" i="1"/>
  <c r="F8" i="1"/>
  <c r="H8" i="1"/>
  <c r="J8" i="1"/>
  <c r="L8" i="1"/>
  <c r="N8" i="1"/>
  <c r="P8" i="1"/>
  <c r="R8" i="1"/>
  <c r="T8" i="1"/>
  <c r="BE8" i="1"/>
  <c r="BO8" i="1"/>
  <c r="BR8" i="1"/>
  <c r="BT8" i="1"/>
  <c r="BV8" i="1"/>
  <c r="BX8" i="1"/>
  <c r="BZ8" i="1"/>
  <c r="CB8" i="1"/>
  <c r="CD8" i="1"/>
  <c r="CE8" i="1"/>
  <c r="BE9" i="1"/>
  <c r="BI9" i="1"/>
  <c r="BR9" i="1"/>
  <c r="BT9" i="1"/>
  <c r="CE9" i="1" s="1"/>
  <c r="BV9" i="1"/>
  <c r="BX9" i="1"/>
  <c r="BZ9" i="1"/>
  <c r="CB9" i="1"/>
  <c r="CD9" i="1"/>
  <c r="BE10" i="1"/>
  <c r="BR10" i="1"/>
  <c r="BT10" i="1"/>
  <c r="BV10" i="1"/>
  <c r="BX10" i="1"/>
  <c r="BZ10" i="1"/>
  <c r="CB10" i="1"/>
  <c r="CD10" i="1"/>
  <c r="A11" i="1"/>
  <c r="BI5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AA14" i="1" s="1"/>
  <c r="AE14" i="1" s="1"/>
  <c r="AF14" i="1" s="1"/>
  <c r="U11" i="1"/>
  <c r="W11" i="1"/>
  <c r="BC11" i="1"/>
  <c r="BE11" i="1"/>
  <c r="BR11" i="1"/>
  <c r="BT11" i="1"/>
  <c r="BV11" i="1"/>
  <c r="BX11" i="1"/>
  <c r="BZ11" i="1"/>
  <c r="CB11" i="1"/>
  <c r="CD11" i="1"/>
  <c r="A12" i="1"/>
  <c r="BN9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/>
  <c r="W12" i="1"/>
  <c r="BE12" i="1"/>
  <c r="BR12" i="1"/>
  <c r="BT12" i="1"/>
  <c r="CE12" i="1" s="1"/>
  <c r="BV12" i="1"/>
  <c r="BX12" i="1"/>
  <c r="BZ12" i="1"/>
  <c r="CB12" i="1"/>
  <c r="CD12" i="1"/>
  <c r="A13" i="1"/>
  <c r="BI7" i="1" s="1"/>
  <c r="B13" i="1"/>
  <c r="C13" i="1"/>
  <c r="BJ7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U13" i="1"/>
  <c r="W13" i="1"/>
  <c r="BE13" i="1"/>
  <c r="BI13" i="1"/>
  <c r="BR13" i="1"/>
  <c r="BT13" i="1"/>
  <c r="CE13" i="1" s="1"/>
  <c r="BV13" i="1"/>
  <c r="BX13" i="1"/>
  <c r="BZ13" i="1"/>
  <c r="CB13" i="1"/>
  <c r="CD13" i="1"/>
  <c r="A14" i="1"/>
  <c r="B14" i="1"/>
  <c r="C14" i="1"/>
  <c r="BJ8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U14" i="1"/>
  <c r="W14" i="1"/>
  <c r="Z14" i="1"/>
  <c r="AC14" i="1"/>
  <c r="BE14" i="1"/>
  <c r="BN14" i="1"/>
  <c r="BR14" i="1"/>
  <c r="BT14" i="1"/>
  <c r="BV14" i="1"/>
  <c r="BX14" i="1"/>
  <c r="BZ14" i="1"/>
  <c r="CB14" i="1"/>
  <c r="CD14" i="1"/>
  <c r="A15" i="1"/>
  <c r="BN12" i="1" s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AA18" i="1" s="1"/>
  <c r="U15" i="1"/>
  <c r="W15" i="1"/>
  <c r="Z15" i="1"/>
  <c r="AE15" i="1" s="1"/>
  <c r="AF15" i="1" s="1"/>
  <c r="AG15" i="1" s="1"/>
  <c r="AA15" i="1"/>
  <c r="AC15" i="1" s="1"/>
  <c r="BE15" i="1"/>
  <c r="BI15" i="1"/>
  <c r="BR15" i="1"/>
  <c r="BT15" i="1"/>
  <c r="BV15" i="1"/>
  <c r="BX15" i="1"/>
  <c r="BZ15" i="1"/>
  <c r="CB15" i="1"/>
  <c r="CD15" i="1"/>
  <c r="A16" i="1"/>
  <c r="B16" i="1"/>
  <c r="C16" i="1"/>
  <c r="BJ10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U16" i="1"/>
  <c r="W16" i="1"/>
  <c r="Z16" i="1"/>
  <c r="AA16" i="1"/>
  <c r="BO10" i="1" s="1"/>
  <c r="AC16" i="1"/>
  <c r="AE16" i="1"/>
  <c r="AF16" i="1" s="1"/>
  <c r="AG16" i="1" s="1"/>
  <c r="BE16" i="1"/>
  <c r="BN16" i="1"/>
  <c r="BR16" i="1"/>
  <c r="BT16" i="1"/>
  <c r="BV16" i="1"/>
  <c r="BX16" i="1"/>
  <c r="BZ16" i="1"/>
  <c r="CB16" i="1"/>
  <c r="CD16" i="1"/>
  <c r="A17" i="1"/>
  <c r="BI11" i="1" s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AA20" i="1" s="1"/>
  <c r="U17" i="1"/>
  <c r="W17" i="1"/>
  <c r="Z17" i="1"/>
  <c r="AE17" i="1" s="1"/>
  <c r="AA17" i="1"/>
  <c r="BO11" i="1" s="1"/>
  <c r="BE17" i="1"/>
  <c r="BR17" i="1"/>
  <c r="BT17" i="1"/>
  <c r="BV17" i="1"/>
  <c r="BX17" i="1"/>
  <c r="BZ17" i="1"/>
  <c r="CB17" i="1"/>
  <c r="CD17" i="1"/>
  <c r="A18" i="1"/>
  <c r="BN15" i="1" s="1"/>
  <c r="B18" i="1"/>
  <c r="C18" i="1"/>
  <c r="BJ12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U18" i="1"/>
  <c r="W18" i="1"/>
  <c r="Z18" i="1"/>
  <c r="AC18" i="1"/>
  <c r="BC18" i="1"/>
  <c r="BC19" i="1" s="1"/>
  <c r="BE18" i="1"/>
  <c r="BR18" i="1"/>
  <c r="BT18" i="1"/>
  <c r="BV18" i="1"/>
  <c r="BX18" i="1"/>
  <c r="BZ18" i="1"/>
  <c r="CB18" i="1"/>
  <c r="CD18" i="1"/>
  <c r="A19" i="1"/>
  <c r="B19" i="1"/>
  <c r="C19" i="1"/>
  <c r="BJ13" i="1" s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U19" i="1"/>
  <c r="W19" i="1"/>
  <c r="Z19" i="1"/>
  <c r="AA19" i="1"/>
  <c r="BO13" i="1" s="1"/>
  <c r="AE19" i="1"/>
  <c r="AF19" i="1" s="1"/>
  <c r="AG19" i="1" s="1"/>
  <c r="BE19" i="1"/>
  <c r="BR19" i="1"/>
  <c r="BT19" i="1"/>
  <c r="BV19" i="1"/>
  <c r="BX19" i="1"/>
  <c r="BZ19" i="1"/>
  <c r="CB19" i="1"/>
  <c r="CD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U20" i="1"/>
  <c r="W20" i="1"/>
  <c r="Z20" i="1"/>
  <c r="BE20" i="1"/>
  <c r="BO20" i="1"/>
  <c r="BR20" i="1"/>
  <c r="BT20" i="1"/>
  <c r="BV20" i="1"/>
  <c r="BX20" i="1"/>
  <c r="BZ20" i="1"/>
  <c r="CB20" i="1"/>
  <c r="CD20" i="1"/>
  <c r="CE20" i="1"/>
  <c r="A21" i="1"/>
  <c r="BN18" i="1" s="1"/>
  <c r="B21" i="1"/>
  <c r="C21" i="1"/>
  <c r="BJ15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W21" i="1"/>
  <c r="Z21" i="1"/>
  <c r="AA21" i="1"/>
  <c r="BE21" i="1"/>
  <c r="BR21" i="1"/>
  <c r="BT21" i="1"/>
  <c r="BV21" i="1"/>
  <c r="BX21" i="1"/>
  <c r="BZ21" i="1"/>
  <c r="CB21" i="1"/>
  <c r="CD21" i="1"/>
  <c r="CE21" i="1"/>
  <c r="B22" i="1"/>
  <c r="C22" i="1"/>
  <c r="BJ16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U22" i="1"/>
  <c r="BI16" i="1" s="1"/>
  <c r="W22" i="1"/>
  <c r="Z22" i="1"/>
  <c r="AE22" i="1" s="1"/>
  <c r="AF22" i="1" s="1"/>
  <c r="AG22" i="1" s="1"/>
  <c r="AA22" i="1"/>
  <c r="BE22" i="1"/>
  <c r="BR22" i="1"/>
  <c r="BT22" i="1"/>
  <c r="BV22" i="1"/>
  <c r="BX22" i="1"/>
  <c r="BZ22" i="1"/>
  <c r="CB22" i="1"/>
  <c r="CD22" i="1"/>
  <c r="CE22" i="1"/>
  <c r="B23" i="1"/>
  <c r="C23" i="1"/>
  <c r="BJ1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A23" i="1" s="1"/>
  <c r="BN20" i="1" s="1"/>
  <c r="W23" i="1"/>
  <c r="Z23" i="1"/>
  <c r="AE23" i="1" s="1"/>
  <c r="AF23" i="1" s="1"/>
  <c r="AG23" i="1" s="1"/>
  <c r="AA23" i="1"/>
  <c r="BE23" i="1"/>
  <c r="BR23" i="1"/>
  <c r="BT23" i="1"/>
  <c r="BV23" i="1"/>
  <c r="BX23" i="1"/>
  <c r="BZ23" i="1"/>
  <c r="CB23" i="1"/>
  <c r="CD23" i="1"/>
  <c r="B24" i="1"/>
  <c r="C24" i="1"/>
  <c r="T24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U24" i="1"/>
  <c r="A24" i="1" s="1"/>
  <c r="W24" i="1"/>
  <c r="Z24" i="1"/>
  <c r="AE24" i="1" s="1"/>
  <c r="AA24" i="1"/>
  <c r="BO18" i="1" s="1"/>
  <c r="BE24" i="1"/>
  <c r="BJ24" i="1"/>
  <c r="BR24" i="1"/>
  <c r="BT24" i="1"/>
  <c r="BV24" i="1"/>
  <c r="BX24" i="1"/>
  <c r="BZ24" i="1"/>
  <c r="CB24" i="1"/>
  <c r="CD24" i="1"/>
  <c r="B25" i="1"/>
  <c r="C25" i="1"/>
  <c r="T25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U25" i="1"/>
  <c r="A25" i="1" s="1"/>
  <c r="W25" i="1"/>
  <c r="Z25" i="1"/>
  <c r="AA25" i="1"/>
  <c r="BO19" i="1" s="1"/>
  <c r="AE25" i="1"/>
  <c r="AF25" i="1" s="1"/>
  <c r="AG25" i="1" s="1"/>
  <c r="BF25" i="1"/>
  <c r="BR25" i="1"/>
  <c r="BT25" i="1"/>
  <c r="BV25" i="1"/>
  <c r="BX25" i="1"/>
  <c r="BZ25" i="1"/>
  <c r="CB25" i="1"/>
  <c r="CD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A26" i="1" s="1"/>
  <c r="BI20" i="1" s="1"/>
  <c r="W26" i="1"/>
  <c r="Z26" i="1"/>
  <c r="AE26" i="1" s="1"/>
  <c r="AA26" i="1"/>
  <c r="AC26" i="1" s="1"/>
  <c r="AF26" i="1"/>
  <c r="AG26" i="1" s="1"/>
  <c r="BG26" i="1"/>
  <c r="BO26" i="1"/>
  <c r="BR26" i="1"/>
  <c r="BT26" i="1"/>
  <c r="BV26" i="1"/>
  <c r="BX26" i="1"/>
  <c r="BZ26" i="1"/>
  <c r="CB26" i="1"/>
  <c r="CD26" i="1"/>
  <c r="B27" i="1"/>
  <c r="C27" i="1"/>
  <c r="BJ21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AA30" i="1" s="1"/>
  <c r="BO24" i="1" s="1"/>
  <c r="U27" i="1"/>
  <c r="A27" i="1" s="1"/>
  <c r="W27" i="1"/>
  <c r="Z27" i="1"/>
  <c r="AE27" i="1" s="1"/>
  <c r="AF27" i="1" s="1"/>
  <c r="AG27" i="1" s="1"/>
  <c r="AA27" i="1"/>
  <c r="AC27" i="1" s="1"/>
  <c r="BF27" i="1"/>
  <c r="BO27" i="1"/>
  <c r="BR27" i="1"/>
  <c r="BT27" i="1"/>
  <c r="BV27" i="1"/>
  <c r="BX27" i="1"/>
  <c r="BZ27" i="1"/>
  <c r="CB27" i="1"/>
  <c r="CD27" i="1"/>
  <c r="CE27" i="1"/>
  <c r="B28" i="1"/>
  <c r="C28" i="1"/>
  <c r="BJ22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U28" i="1"/>
  <c r="A28" i="1" s="1"/>
  <c r="BI22" i="1" s="1"/>
  <c r="W28" i="1"/>
  <c r="Z28" i="1"/>
  <c r="AE28" i="1" s="1"/>
  <c r="AA28" i="1"/>
  <c r="AC28" i="1" s="1"/>
  <c r="AF28" i="1"/>
  <c r="AG28" i="1" s="1"/>
  <c r="BT28" i="1"/>
  <c r="BV28" i="1"/>
  <c r="BX28" i="1"/>
  <c r="BZ28" i="1"/>
  <c r="CB28" i="1"/>
  <c r="CD28" i="1"/>
  <c r="CE28" i="1"/>
  <c r="B29" i="1"/>
  <c r="C29" i="1"/>
  <c r="BJ23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A29" i="1" s="1"/>
  <c r="W29" i="1"/>
  <c r="Z29" i="1"/>
  <c r="AA29" i="1"/>
  <c r="BO23" i="1" s="1"/>
  <c r="AE29" i="1"/>
  <c r="AF29" i="1" s="1"/>
  <c r="AG29" i="1" s="1"/>
  <c r="BF29" i="1"/>
  <c r="BS29" i="1"/>
  <c r="BT29" i="1"/>
  <c r="BU29" i="1"/>
  <c r="BV29" i="1" s="1"/>
  <c r="BW29" i="1"/>
  <c r="BX29" i="1"/>
  <c r="BY29" i="1"/>
  <c r="BZ29" i="1" s="1"/>
  <c r="CA29" i="1"/>
  <c r="CB29" i="1"/>
  <c r="CC29" i="1"/>
  <c r="CD29" i="1" s="1"/>
  <c r="B30" i="1"/>
  <c r="C30" i="1"/>
  <c r="D30" i="1"/>
  <c r="E30" i="1"/>
  <c r="E32" i="1" s="1"/>
  <c r="E33" i="1" s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A30" i="1" s="1"/>
  <c r="W30" i="1"/>
  <c r="Z30" i="1"/>
  <c r="AC30" i="1"/>
  <c r="AE30" i="1"/>
  <c r="AF30" i="1" s="1"/>
  <c r="AG30" i="1" s="1"/>
  <c r="BF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U31" i="1"/>
  <c r="W31" i="1"/>
  <c r="Z31" i="1"/>
  <c r="AA31" i="1"/>
  <c r="BO25" i="1" s="1"/>
  <c r="AC31" i="1"/>
  <c r="AE31" i="1"/>
  <c r="AF31" i="1" s="1"/>
  <c r="AG31" i="1" s="1"/>
  <c r="BC31" i="1"/>
  <c r="G32" i="1"/>
  <c r="I32" i="1"/>
  <c r="K32" i="1"/>
  <c r="M32" i="1"/>
  <c r="O32" i="1"/>
  <c r="Q32" i="1"/>
  <c r="S32" i="1"/>
  <c r="W32" i="1"/>
  <c r="Z32" i="1"/>
  <c r="AA32" i="1"/>
  <c r="AC32" i="1"/>
  <c r="AE32" i="1"/>
  <c r="AF32" i="1" s="1"/>
  <c r="AG32" i="1" s="1"/>
  <c r="G33" i="1"/>
  <c r="M33" i="1"/>
  <c r="O33" i="1"/>
  <c r="Z33" i="1"/>
  <c r="AE33" i="1" s="1"/>
  <c r="AF33" i="1" s="1"/>
  <c r="AG33" i="1" s="1"/>
  <c r="AA33" i="1"/>
  <c r="AC33" i="1"/>
  <c r="E34" i="1"/>
  <c r="G34" i="1"/>
  <c r="I34" i="1"/>
  <c r="K34" i="1"/>
  <c r="M34" i="1"/>
  <c r="O34" i="1"/>
  <c r="Q34" i="1"/>
  <c r="S34" i="1"/>
  <c r="AL39" i="1"/>
  <c r="AM39" i="1"/>
  <c r="AM40" i="1" s="1"/>
  <c r="AL42" i="1" s="1"/>
  <c r="AL43" i="1" s="1"/>
  <c r="AN39" i="1"/>
  <c r="AO39" i="1"/>
  <c r="AP39" i="1"/>
  <c r="AQ39" i="1"/>
  <c r="AL40" i="1"/>
  <c r="AL41" i="1" s="1"/>
  <c r="AM41" i="1"/>
  <c r="AQ42" i="1"/>
  <c r="AQ43" i="1"/>
  <c r="AJ48" i="1"/>
  <c r="AK48" i="1"/>
  <c r="AL48" i="1"/>
  <c r="AJ49" i="1"/>
  <c r="AK49" i="1"/>
  <c r="AL49" i="1" s="1"/>
  <c r="BE49" i="1"/>
  <c r="BG49" i="1"/>
  <c r="BJ49" i="1"/>
  <c r="BN49" i="1"/>
  <c r="BW49" i="1"/>
  <c r="AJ50" i="1"/>
  <c r="AK50" i="1"/>
  <c r="AL50" i="1"/>
  <c r="BE50" i="1"/>
  <c r="BG50" i="1"/>
  <c r="BN50" i="1"/>
  <c r="BJ50" i="1" s="1"/>
  <c r="BW50" i="1"/>
  <c r="AJ51" i="1"/>
  <c r="AK51" i="1"/>
  <c r="AL51" i="1"/>
  <c r="BE51" i="1"/>
  <c r="BG51" i="1"/>
  <c r="BN51" i="1"/>
  <c r="BJ51" i="1" s="1"/>
  <c r="BW51" i="1"/>
  <c r="AJ52" i="1"/>
  <c r="AK52" i="1"/>
  <c r="AL52" i="1" s="1"/>
  <c r="BE52" i="1"/>
  <c r="BG52" i="1"/>
  <c r="BJ52" i="1"/>
  <c r="BN52" i="1"/>
  <c r="BW52" i="1"/>
  <c r="AJ53" i="1"/>
  <c r="AK53" i="1"/>
  <c r="AL53" i="1" s="1"/>
  <c r="BG53" i="1"/>
  <c r="BJ53" i="1"/>
  <c r="BN53" i="1"/>
  <c r="BW53" i="1"/>
  <c r="AJ54" i="1"/>
  <c r="AK54" i="1"/>
  <c r="AL54" i="1" s="1"/>
  <c r="BG54" i="1"/>
  <c r="BJ54" i="1"/>
  <c r="BN54" i="1"/>
  <c r="BW54" i="1"/>
  <c r="AJ55" i="1"/>
  <c r="AK55" i="1"/>
  <c r="AL55" i="1" s="1"/>
  <c r="BG55" i="1"/>
  <c r="BJ55" i="1"/>
  <c r="BN55" i="1"/>
  <c r="BW55" i="1"/>
  <c r="AJ56" i="1"/>
  <c r="AK56" i="1"/>
  <c r="AL56" i="1" s="1"/>
  <c r="BG56" i="1"/>
  <c r="BN56" i="1"/>
  <c r="BJ56" i="1" s="1"/>
  <c r="BW56" i="1"/>
  <c r="AJ57" i="1"/>
  <c r="AK57" i="1"/>
  <c r="AL57" i="1" s="1"/>
  <c r="BG57" i="1"/>
  <c r="BN57" i="1"/>
  <c r="BJ57" i="1" s="1"/>
  <c r="BW57" i="1"/>
  <c r="AJ58" i="1"/>
  <c r="AK58" i="1"/>
  <c r="AL58" i="1" s="1"/>
  <c r="BG58" i="1"/>
  <c r="BN58" i="1"/>
  <c r="BJ58" i="1" s="1"/>
  <c r="BW58" i="1"/>
  <c r="AJ59" i="1"/>
  <c r="AK59" i="1"/>
  <c r="AL59" i="1" s="1"/>
  <c r="BG59" i="1"/>
  <c r="BN59" i="1"/>
  <c r="BJ59" i="1" s="1"/>
  <c r="BW59" i="1"/>
  <c r="AJ60" i="1"/>
  <c r="AK60" i="1"/>
  <c r="AL60" i="1" s="1"/>
  <c r="BG60" i="1"/>
  <c r="BN60" i="1"/>
  <c r="BJ60" i="1" s="1"/>
  <c r="BW60" i="1"/>
  <c r="AJ61" i="1"/>
  <c r="AK61" i="1"/>
  <c r="AL61" i="1" s="1"/>
  <c r="BG61" i="1"/>
  <c r="BI61" i="1"/>
  <c r="BN61" i="1"/>
  <c r="BJ61" i="1" s="1"/>
  <c r="BW61" i="1"/>
  <c r="AJ62" i="1"/>
  <c r="AK62" i="1"/>
  <c r="AL62" i="1"/>
  <c r="BG62" i="1"/>
  <c r="BI62" i="1"/>
  <c r="BN62" i="1"/>
  <c r="BJ62" i="1" s="1"/>
  <c r="BW62" i="1"/>
  <c r="AJ63" i="1"/>
  <c r="AK63" i="1"/>
  <c r="AL63" i="1"/>
  <c r="BG63" i="1"/>
  <c r="BI63" i="1"/>
  <c r="BN63" i="1"/>
  <c r="BJ63" i="1" s="1"/>
  <c r="BW63" i="1"/>
  <c r="AJ64" i="1"/>
  <c r="AK64" i="1"/>
  <c r="AL64" i="1"/>
  <c r="BG64" i="1"/>
  <c r="BI64" i="1"/>
  <c r="BJ64" i="1"/>
  <c r="BN64" i="1"/>
  <c r="BW64" i="1"/>
  <c r="AJ65" i="1"/>
  <c r="AK65" i="1"/>
  <c r="AL65" i="1"/>
  <c r="BG65" i="1"/>
  <c r="BI65" i="1"/>
  <c r="BJ65" i="1"/>
  <c r="BN65" i="1"/>
  <c r="BW65" i="1"/>
  <c r="AJ66" i="1"/>
  <c r="AK66" i="1"/>
  <c r="AL66" i="1" s="1"/>
  <c r="BG66" i="1"/>
  <c r="BI66" i="1"/>
  <c r="BN66" i="1"/>
  <c r="BJ66" i="1" s="1"/>
  <c r="BW66" i="1"/>
  <c r="AJ67" i="1"/>
  <c r="AK67" i="1"/>
  <c r="AL67" i="1"/>
  <c r="BG67" i="1"/>
  <c r="BI67" i="1"/>
  <c r="BN67" i="1"/>
  <c r="BJ67" i="1" s="1"/>
  <c r="BW67" i="1"/>
  <c r="BW69" i="1" s="1"/>
  <c r="BG68" i="1"/>
  <c r="BI68" i="1"/>
  <c r="BJ68" i="1"/>
  <c r="BN68" i="1"/>
  <c r="BW68" i="1"/>
  <c r="BI69" i="1"/>
  <c r="BK69" i="1" s="1"/>
  <c r="T31" i="1" s="1"/>
  <c r="DE231" i="1" s="1"/>
  <c r="BJ69" i="1"/>
  <c r="AO88" i="1"/>
  <c r="AQ88" i="1"/>
  <c r="AR88" i="1"/>
  <c r="AT88" i="1"/>
  <c r="DA209" i="1"/>
  <c r="DA211" i="1"/>
  <c r="DB211" i="1"/>
  <c r="DC211" i="1"/>
  <c r="DD211" i="1"/>
  <c r="DF211" i="1"/>
  <c r="DA212" i="1"/>
  <c r="DB212" i="1"/>
  <c r="DC212" i="1"/>
  <c r="DD212" i="1"/>
  <c r="DF212" i="1"/>
  <c r="DA213" i="1"/>
  <c r="DB213" i="1"/>
  <c r="DC213" i="1"/>
  <c r="DD213" i="1"/>
  <c r="DF213" i="1"/>
  <c r="DA214" i="1"/>
  <c r="DB214" i="1"/>
  <c r="DC214" i="1"/>
  <c r="DD214" i="1"/>
  <c r="DF214" i="1"/>
  <c r="DA215" i="1"/>
  <c r="DB215" i="1"/>
  <c r="DC215" i="1"/>
  <c r="DD215" i="1"/>
  <c r="DF215" i="1"/>
  <c r="DA216" i="1"/>
  <c r="DB216" i="1"/>
  <c r="DC216" i="1"/>
  <c r="DD216" i="1"/>
  <c r="DF216" i="1"/>
  <c r="DA217" i="1"/>
  <c r="DB217" i="1"/>
  <c r="DC217" i="1"/>
  <c r="DD217" i="1"/>
  <c r="DF217" i="1"/>
  <c r="DA218" i="1"/>
  <c r="DB218" i="1"/>
  <c r="DC218" i="1"/>
  <c r="DD218" i="1"/>
  <c r="DF218" i="1"/>
  <c r="DA219" i="1"/>
  <c r="DB219" i="1"/>
  <c r="DC219" i="1"/>
  <c r="DD219" i="1"/>
  <c r="DF219" i="1"/>
  <c r="DA220" i="1"/>
  <c r="DB220" i="1"/>
  <c r="DC220" i="1"/>
  <c r="DD220" i="1"/>
  <c r="DF220" i="1"/>
  <c r="DA221" i="1"/>
  <c r="DB221" i="1"/>
  <c r="DC221" i="1"/>
  <c r="DD221" i="1"/>
  <c r="DF221" i="1"/>
  <c r="DA222" i="1"/>
  <c r="DB222" i="1"/>
  <c r="DC222" i="1"/>
  <c r="DD222" i="1"/>
  <c r="DF222" i="1"/>
  <c r="DA223" i="1"/>
  <c r="DB223" i="1"/>
  <c r="DC223" i="1"/>
  <c r="DD223" i="1"/>
  <c r="DE223" i="1"/>
  <c r="DF223" i="1"/>
  <c r="DA224" i="1"/>
  <c r="DB224" i="1"/>
  <c r="DC224" i="1"/>
  <c r="DD224" i="1"/>
  <c r="DE224" i="1"/>
  <c r="DF224" i="1"/>
  <c r="DA225" i="1"/>
  <c r="DB225" i="1"/>
  <c r="DC225" i="1"/>
  <c r="DD225" i="1"/>
  <c r="DE225" i="1"/>
  <c r="DF225" i="1"/>
  <c r="DA226" i="1"/>
  <c r="DB226" i="1"/>
  <c r="DC226" i="1"/>
  <c r="DD226" i="1"/>
  <c r="DF226" i="1"/>
  <c r="DA227" i="1"/>
  <c r="DB227" i="1"/>
  <c r="DC227" i="1"/>
  <c r="DD227" i="1"/>
  <c r="DF227" i="1"/>
  <c r="DA228" i="1"/>
  <c r="DB228" i="1"/>
  <c r="DC228" i="1"/>
  <c r="DD228" i="1"/>
  <c r="DF228" i="1"/>
  <c r="DA229" i="1"/>
  <c r="DB229" i="1"/>
  <c r="DC229" i="1"/>
  <c r="DD229" i="1"/>
  <c r="DE229" i="1"/>
  <c r="DF229" i="1"/>
  <c r="DA230" i="1"/>
  <c r="DB230" i="1"/>
  <c r="DC230" i="1"/>
  <c r="DD230" i="1"/>
  <c r="DE230" i="1"/>
  <c r="DF230" i="1"/>
  <c r="DF231" i="1"/>
  <c r="DD232" i="1"/>
  <c r="Z44" i="1" a="1"/>
  <c r="AB44" i="1" l="1"/>
  <c r="AA45" i="1"/>
  <c r="Z46" i="1"/>
  <c r="AA47" i="1"/>
  <c r="AB48" i="1"/>
  <c r="Z49" i="1"/>
  <c r="AB51" i="1"/>
  <c r="AA52" i="1"/>
  <c r="Z53" i="1"/>
  <c r="AB45" i="1"/>
  <c r="AA46" i="1"/>
  <c r="AB47" i="1"/>
  <c r="AA49" i="1"/>
  <c r="Z50" i="1"/>
  <c r="Z44" i="1"/>
  <c r="AB46" i="1"/>
  <c r="Z48" i="1"/>
  <c r="AB49" i="1"/>
  <c r="AA50" i="1"/>
  <c r="Z51" i="1"/>
  <c r="AB53" i="1"/>
  <c r="AB54" i="1"/>
  <c r="AB55" i="1"/>
  <c r="AB56" i="1"/>
  <c r="AA44" i="1"/>
  <c r="Z45" i="1"/>
  <c r="Z47" i="1"/>
  <c r="AA48" i="1"/>
  <c r="AB50" i="1"/>
  <c r="AA51" i="1"/>
  <c r="Z52" i="1"/>
  <c r="AB57" i="1"/>
  <c r="AB58" i="1"/>
  <c r="AB59" i="1"/>
  <c r="AB60" i="1"/>
  <c r="AB61" i="1"/>
  <c r="AB62" i="1"/>
  <c r="AB63" i="1"/>
  <c r="AA53" i="1"/>
  <c r="Z54" i="1"/>
  <c r="Z55" i="1"/>
  <c r="Z56" i="1"/>
  <c r="Z57" i="1"/>
  <c r="Z58" i="1"/>
  <c r="Z59" i="1"/>
  <c r="Z60" i="1"/>
  <c r="Z61" i="1"/>
  <c r="Z62" i="1"/>
  <c r="Z63" i="1"/>
  <c r="AB52" i="1"/>
  <c r="AA54" i="1"/>
  <c r="AA55" i="1"/>
  <c r="AA56" i="1"/>
  <c r="AA57" i="1"/>
  <c r="AA58" i="1"/>
  <c r="AA59" i="1"/>
  <c r="AA60" i="1"/>
  <c r="AA61" i="1"/>
  <c r="AA62" i="1"/>
  <c r="AA63" i="1"/>
  <c r="AM61" i="1"/>
  <c r="AN61" i="1" s="1"/>
  <c r="AM57" i="1"/>
  <c r="AN57" i="1" s="1"/>
  <c r="AM59" i="1"/>
  <c r="AN59" i="1" s="1"/>
  <c r="AM60" i="1"/>
  <c r="AN60" i="1" s="1"/>
  <c r="BI23" i="1"/>
  <c r="BN26" i="1"/>
  <c r="AL47" i="1"/>
  <c r="AM52" i="1"/>
  <c r="AN52" i="1" s="1"/>
  <c r="BI24" i="1"/>
  <c r="BN27" i="1"/>
  <c r="AM53" i="1"/>
  <c r="AN53" i="1" s="1"/>
  <c r="AM51" i="1"/>
  <c r="AN51" i="1" s="1"/>
  <c r="AM49" i="1"/>
  <c r="AN49" i="1" s="1"/>
  <c r="AN40" i="1"/>
  <c r="U32" i="1"/>
  <c r="T27" i="1"/>
  <c r="DE227" i="1" s="1"/>
  <c r="CE25" i="1"/>
  <c r="CE23" i="1"/>
  <c r="AE20" i="1"/>
  <c r="AF20" i="1" s="1"/>
  <c r="AG20" i="1" s="1"/>
  <c r="BN19" i="1"/>
  <c r="CE17" i="1"/>
  <c r="CE16" i="1"/>
  <c r="AE18" i="1"/>
  <c r="AF18" i="1" s="1"/>
  <c r="AG18" i="1" s="1"/>
  <c r="BO12" i="1"/>
  <c r="BJ9" i="1"/>
  <c r="BI12" i="1"/>
  <c r="CE11" i="1"/>
  <c r="BA8" i="1"/>
  <c r="AM48" i="1"/>
  <c r="AN48" i="1" s="1"/>
  <c r="BI18" i="1"/>
  <c r="BN21" i="1"/>
  <c r="CE19" i="1"/>
  <c r="BJ18" i="1"/>
  <c r="BO14" i="1"/>
  <c r="AC20" i="1"/>
  <c r="BI10" i="1"/>
  <c r="BN13" i="1"/>
  <c r="BN10" i="1"/>
  <c r="BW31" i="1"/>
  <c r="BX30" i="1" s="1"/>
  <c r="AC29" i="1"/>
  <c r="T28" i="1"/>
  <c r="DE228" i="1" s="1"/>
  <c r="T26" i="1"/>
  <c r="DE226" i="1" s="1"/>
  <c r="BJ20" i="1"/>
  <c r="BO22" i="1"/>
  <c r="BO21" i="1"/>
  <c r="BI14" i="1"/>
  <c r="BN17" i="1"/>
  <c r="BI17" i="1"/>
  <c r="BI8" i="1"/>
  <c r="BN11" i="1"/>
  <c r="BJ11" i="1"/>
  <c r="CE10" i="1"/>
  <c r="CE29" i="1" s="1"/>
  <c r="I33" i="1"/>
  <c r="Q33" i="1"/>
  <c r="K33" i="1"/>
  <c r="S33" i="1"/>
  <c r="CE6" i="1"/>
  <c r="BI21" i="1"/>
  <c r="BN24" i="1"/>
  <c r="CE26" i="1"/>
  <c r="BN25" i="1"/>
  <c r="BI19" i="1"/>
  <c r="BN22" i="1"/>
  <c r="CE24" i="1"/>
  <c r="BN23" i="1"/>
  <c r="AC23" i="1"/>
  <c r="BO17" i="1"/>
  <c r="BO16" i="1"/>
  <c r="AC22" i="1"/>
  <c r="AC21" i="1"/>
  <c r="AE21" i="1"/>
  <c r="AF21" i="1" s="1"/>
  <c r="AG21" i="1" s="1"/>
  <c r="BO15" i="1"/>
  <c r="BJ14" i="1"/>
  <c r="CE18" i="1"/>
  <c r="CE15" i="1"/>
  <c r="CE14" i="1"/>
  <c r="AG3" i="1"/>
  <c r="BC12" i="1" s="1"/>
  <c r="AG14" i="1"/>
  <c r="BJ5" i="1"/>
  <c r="AC25" i="1"/>
  <c r="BJ19" i="1"/>
  <c r="AC19" i="1"/>
  <c r="BO9" i="1"/>
  <c r="BN8" i="1"/>
  <c r="BI6" i="1"/>
  <c r="AC24" i="1"/>
  <c r="AF24" i="1" s="1"/>
  <c r="AG24" i="1" s="1"/>
  <c r="AC17" i="1"/>
  <c r="AF17" i="1" s="1"/>
  <c r="AG17" i="1" s="1"/>
  <c r="BC24" i="1" l="1"/>
  <c r="BC29" i="1"/>
  <c r="BC25" i="1"/>
  <c r="U33" i="1"/>
  <c r="U4" i="1" s="1"/>
  <c r="DF232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AO41" i="1"/>
  <c r="AM42" i="1"/>
  <c r="AM43" i="1" s="1"/>
  <c r="AO40" i="1"/>
  <c r="AL46" i="1"/>
  <c r="AL20" i="1" s="1"/>
  <c r="AM50" i="1"/>
  <c r="AN50" i="1" s="1"/>
  <c r="AM65" i="1"/>
  <c r="AN65" i="1" s="1"/>
  <c r="AM64" i="1"/>
  <c r="AN64" i="1" s="1"/>
  <c r="AM54" i="1"/>
  <c r="AN54" i="1" s="1"/>
  <c r="AM55" i="1"/>
  <c r="AN55" i="1" s="1"/>
  <c r="AM56" i="1"/>
  <c r="AN56" i="1" s="1"/>
  <c r="AM58" i="1"/>
  <c r="AN58" i="1" s="1"/>
  <c r="AM62" i="1"/>
  <c r="AN62" i="1" s="1"/>
  <c r="AM66" i="1"/>
  <c r="AN66" i="1" s="1"/>
  <c r="AG2" i="1"/>
  <c r="BC23" i="1"/>
  <c r="AN41" i="1"/>
  <c r="AM63" i="1"/>
  <c r="AN63" i="1" s="1"/>
  <c r="BZ31" i="1"/>
  <c r="AM67" i="1"/>
  <c r="AN67" i="1" s="1"/>
  <c r="AN20" i="1" l="1"/>
  <c r="AO66" i="1"/>
  <c r="AP66" i="1" s="1"/>
  <c r="AO55" i="1"/>
  <c r="AP55" i="1" s="1"/>
  <c r="AO67" i="1"/>
  <c r="AP67" i="1" s="1"/>
  <c r="BG5" i="1"/>
  <c r="BG10" i="1"/>
  <c r="BK54" i="1" s="1"/>
  <c r="T16" i="1" s="1"/>
  <c r="DE216" i="1" s="1"/>
  <c r="BG14" i="1"/>
  <c r="BK58" i="1" s="1"/>
  <c r="T20" i="1" s="1"/>
  <c r="DE220" i="1" s="1"/>
  <c r="BG16" i="1"/>
  <c r="BK60" i="1" s="1"/>
  <c r="T22" i="1" s="1"/>
  <c r="DE222" i="1" s="1"/>
  <c r="BG19" i="1"/>
  <c r="BK63" i="1" s="1"/>
  <c r="BG23" i="1"/>
  <c r="BK67" i="1" s="1"/>
  <c r="BG6" i="1"/>
  <c r="BK50" i="1" s="1"/>
  <c r="T12" i="1" s="1"/>
  <c r="DE212" i="1" s="1"/>
  <c r="BG11" i="1"/>
  <c r="BK55" i="1" s="1"/>
  <c r="T17" i="1" s="1"/>
  <c r="DE217" i="1" s="1"/>
  <c r="BG18" i="1"/>
  <c r="BK62" i="1" s="1"/>
  <c r="BG24" i="1"/>
  <c r="BK68" i="1" s="1"/>
  <c r="BG7" i="1"/>
  <c r="BK51" i="1" s="1"/>
  <c r="T13" i="1" s="1"/>
  <c r="DE213" i="1" s="1"/>
  <c r="BG9" i="1"/>
  <c r="BK53" i="1" s="1"/>
  <c r="T15" i="1" s="1"/>
  <c r="DE215" i="1" s="1"/>
  <c r="BG12" i="1"/>
  <c r="BK56" i="1" s="1"/>
  <c r="T18" i="1" s="1"/>
  <c r="DE218" i="1" s="1"/>
  <c r="BG13" i="1"/>
  <c r="BK57" i="1" s="1"/>
  <c r="T19" i="1" s="1"/>
  <c r="DE219" i="1" s="1"/>
  <c r="BG15" i="1"/>
  <c r="BK59" i="1" s="1"/>
  <c r="T21" i="1" s="1"/>
  <c r="DE221" i="1" s="1"/>
  <c r="BG17" i="1"/>
  <c r="BK61" i="1" s="1"/>
  <c r="BG21" i="1"/>
  <c r="BK65" i="1" s="1"/>
  <c r="BG22" i="1"/>
  <c r="BK66" i="1" s="1"/>
  <c r="BG8" i="1"/>
  <c r="BK52" i="1" s="1"/>
  <c r="T14" i="1" s="1"/>
  <c r="DE214" i="1" s="1"/>
  <c r="BG20" i="1"/>
  <c r="BK64" i="1" s="1"/>
  <c r="AO58" i="1"/>
  <c r="AP58" i="1" s="1"/>
  <c r="AO64" i="1"/>
  <c r="AP64" i="1" s="1"/>
  <c r="AN47" i="1"/>
  <c r="AO63" i="1"/>
  <c r="AP63" i="1" s="1"/>
  <c r="AO54" i="1"/>
  <c r="AP54" i="1" s="1"/>
  <c r="AC43" i="1"/>
  <c r="AC44" i="1" s="1"/>
  <c r="AO56" i="1"/>
  <c r="AP56" i="1" s="1"/>
  <c r="AO65" i="1"/>
  <c r="AP65" i="1" s="1"/>
  <c r="AN42" i="1"/>
  <c r="AN43" i="1" s="1"/>
  <c r="AP40" i="1"/>
  <c r="AP41" i="1" s="1"/>
  <c r="BG25" i="1" l="1"/>
  <c r="BG27" i="1" s="1"/>
  <c r="BK70" i="1" s="1"/>
  <c r="BK49" i="1"/>
  <c r="T11" i="1" s="1"/>
  <c r="DE211" i="1" s="1"/>
  <c r="AE44" i="1"/>
  <c r="AC45" i="1"/>
  <c r="AN46" i="1"/>
  <c r="AL21" i="1" s="1"/>
  <c r="AO48" i="1"/>
  <c r="AP48" i="1" s="1"/>
  <c r="AO52" i="1"/>
  <c r="AP52" i="1" s="1"/>
  <c r="AO49" i="1"/>
  <c r="AP49" i="1" s="1"/>
  <c r="AO51" i="1"/>
  <c r="AP51" i="1" s="1"/>
  <c r="AO57" i="1"/>
  <c r="AP57" i="1" s="1"/>
  <c r="AO59" i="1"/>
  <c r="AP59" i="1" s="1"/>
  <c r="AO61" i="1"/>
  <c r="AP61" i="1" s="1"/>
  <c r="AO53" i="1"/>
  <c r="AP53" i="1" s="1"/>
  <c r="AO60" i="1"/>
  <c r="AP60" i="1" s="1"/>
  <c r="AO62" i="1"/>
  <c r="AP62" i="1" s="1"/>
  <c r="AQ20" i="1"/>
  <c r="AQ82" i="1" s="1"/>
  <c r="AO20" i="1"/>
  <c r="AO42" i="1"/>
  <c r="AO43" i="1" s="1"/>
  <c r="AQ40" i="1"/>
  <c r="AP42" i="1" s="1"/>
  <c r="AP43" i="1" s="1"/>
  <c r="AO50" i="1"/>
  <c r="AP50" i="1" s="1"/>
  <c r="AU27" i="1" l="1"/>
  <c r="AV27" i="1" s="1"/>
  <c r="AO82" i="1"/>
  <c r="AQ60" i="1"/>
  <c r="AR60" i="1" s="1"/>
  <c r="AP47" i="1"/>
  <c r="AQ48" i="1" s="1"/>
  <c r="AR48" i="1" s="1"/>
  <c r="AK43" i="1"/>
  <c r="AQ51" i="1"/>
  <c r="AR51" i="1" s="1"/>
  <c r="AM21" i="1"/>
  <c r="AN21" i="1"/>
  <c r="AE45" i="1"/>
  <c r="AC46" i="1"/>
  <c r="AQ62" i="1"/>
  <c r="AR62" i="1" s="1"/>
  <c r="AQ52" i="1"/>
  <c r="AR52" i="1" s="1"/>
  <c r="AQ41" i="1"/>
  <c r="AQ61" i="1"/>
  <c r="AR61" i="1" s="1"/>
  <c r="AQ6" i="1" l="1"/>
  <c r="AR20" i="1"/>
  <c r="AR82" i="1" s="1"/>
  <c r="AW27" i="1"/>
  <c r="AT27" i="1" s="1"/>
  <c r="AE46" i="1"/>
  <c r="AC47" i="1"/>
  <c r="AT82" i="1"/>
  <c r="AP46" i="1"/>
  <c r="AL22" i="1" s="1"/>
  <c r="AQ56" i="1"/>
  <c r="AR56" i="1" s="1"/>
  <c r="AQ66" i="1"/>
  <c r="AR66" i="1" s="1"/>
  <c r="AQ65" i="1"/>
  <c r="AR65" i="1" s="1"/>
  <c r="AQ67" i="1"/>
  <c r="AR67" i="1" s="1"/>
  <c r="AQ58" i="1"/>
  <c r="AR58" i="1" s="1"/>
  <c r="AQ54" i="1"/>
  <c r="AR54" i="1" s="1"/>
  <c r="AQ63" i="1"/>
  <c r="AR63" i="1" s="1"/>
  <c r="AQ64" i="1"/>
  <c r="AR64" i="1" s="1"/>
  <c r="AQ55" i="1"/>
  <c r="AR55" i="1" s="1"/>
  <c r="AQ49" i="1"/>
  <c r="AR49" i="1" s="1"/>
  <c r="AQ59" i="1"/>
  <c r="AR59" i="1" s="1"/>
  <c r="AQ21" i="1"/>
  <c r="AQ83" i="1" s="1"/>
  <c r="AR21" i="1"/>
  <c r="AR83" i="1" s="1"/>
  <c r="AO21" i="1"/>
  <c r="AQ53" i="1"/>
  <c r="AR53" i="1" s="1"/>
  <c r="AQ57" i="1"/>
  <c r="AR57" i="1" s="1"/>
  <c r="AQ50" i="1"/>
  <c r="AR50" i="1" s="1"/>
  <c r="AU28" i="1" l="1"/>
  <c r="AV28" i="1" s="1"/>
  <c r="AO83" i="1"/>
  <c r="AT83" i="1" s="1"/>
  <c r="AT59" i="1"/>
  <c r="AU59" i="1" s="1"/>
  <c r="AT50" i="1"/>
  <c r="AU50" i="1" s="1"/>
  <c r="AR47" i="1"/>
  <c r="AT53" i="1" s="1"/>
  <c r="AU53" i="1" s="1"/>
  <c r="AM22" i="1"/>
  <c r="AW28" i="1" s="1"/>
  <c r="AT28" i="1" s="1"/>
  <c r="AN22" i="1"/>
  <c r="AT55" i="1"/>
  <c r="AU55" i="1" s="1"/>
  <c r="AT56" i="1"/>
  <c r="AU56" i="1" s="1"/>
  <c r="AC48" i="1"/>
  <c r="AE47" i="1"/>
  <c r="AE48" i="1" l="1"/>
  <c r="AC49" i="1"/>
  <c r="AT57" i="1"/>
  <c r="AU57" i="1" s="1"/>
  <c r="AT64" i="1"/>
  <c r="AU64" i="1" s="1"/>
  <c r="AT66" i="1"/>
  <c r="AU66" i="1" s="1"/>
  <c r="AQ22" i="1"/>
  <c r="AQ84" i="1" s="1"/>
  <c r="AR22" i="1"/>
  <c r="AR84" i="1" s="1"/>
  <c r="AO22" i="1"/>
  <c r="AR46" i="1"/>
  <c r="AT48" i="1"/>
  <c r="AU48" i="1" s="1"/>
  <c r="AT52" i="1"/>
  <c r="AU52" i="1" s="1"/>
  <c r="AT62" i="1"/>
  <c r="AU62" i="1" s="1"/>
  <c r="AT60" i="1"/>
  <c r="AU60" i="1" s="1"/>
  <c r="AT51" i="1"/>
  <c r="AU51" i="1" s="1"/>
  <c r="AT61" i="1"/>
  <c r="AU61" i="1" s="1"/>
  <c r="AT54" i="1"/>
  <c r="AU54" i="1" s="1"/>
  <c r="AT65" i="1"/>
  <c r="AU65" i="1" s="1"/>
  <c r="AT58" i="1"/>
  <c r="AU58" i="1" s="1"/>
  <c r="AT49" i="1"/>
  <c r="AU49" i="1" s="1"/>
  <c r="AT63" i="1"/>
  <c r="AU63" i="1" s="1"/>
  <c r="AT67" i="1"/>
  <c r="AU67" i="1" s="1"/>
  <c r="AV54" i="1" l="1"/>
  <c r="AW54" i="1" s="1"/>
  <c r="AV62" i="1"/>
  <c r="AW62" i="1" s="1"/>
  <c r="AU29" i="1"/>
  <c r="AV29" i="1" s="1"/>
  <c r="AO84" i="1"/>
  <c r="AT84" i="1" s="1"/>
  <c r="AE49" i="1"/>
  <c r="AC50" i="1"/>
  <c r="AU47" i="1"/>
  <c r="AV48" i="1"/>
  <c r="AW48" i="1" s="1"/>
  <c r="AV64" i="1"/>
  <c r="AW64" i="1" s="1"/>
  <c r="AV65" i="1"/>
  <c r="AW65" i="1" s="1"/>
  <c r="AV60" i="1"/>
  <c r="AW60" i="1" s="1"/>
  <c r="AL23" i="1"/>
  <c r="AV57" i="1"/>
  <c r="AW57" i="1" s="1"/>
  <c r="AV63" i="1"/>
  <c r="AW63" i="1" s="1"/>
  <c r="AV61" i="1"/>
  <c r="AW61" i="1" s="1"/>
  <c r="AV66" i="1"/>
  <c r="AW66" i="1" s="1"/>
  <c r="AE50" i="1" l="1"/>
  <c r="AC51" i="1"/>
  <c r="AU46" i="1"/>
  <c r="AL24" i="1" s="1"/>
  <c r="AV50" i="1"/>
  <c r="AW50" i="1" s="1"/>
  <c r="AV53" i="1"/>
  <c r="AW53" i="1" s="1"/>
  <c r="AV56" i="1"/>
  <c r="AW56" i="1" s="1"/>
  <c r="AV55" i="1"/>
  <c r="AW55" i="1" s="1"/>
  <c r="AV59" i="1"/>
  <c r="AW59" i="1" s="1"/>
  <c r="AV67" i="1"/>
  <c r="AW67" i="1" s="1"/>
  <c r="AV52" i="1"/>
  <c r="AW52" i="1" s="1"/>
  <c r="AM23" i="1"/>
  <c r="AW29" i="1" s="1"/>
  <c r="AT29" i="1" s="1"/>
  <c r="AN23" i="1"/>
  <c r="AV58" i="1"/>
  <c r="AW58" i="1" s="1"/>
  <c r="AV49" i="1"/>
  <c r="AW49" i="1" s="1"/>
  <c r="AW47" i="1" s="1"/>
  <c r="AW46" i="1" s="1"/>
  <c r="AV51" i="1"/>
  <c r="AW51" i="1" s="1"/>
  <c r="AQ23" i="1" l="1"/>
  <c r="AQ85" i="1" s="1"/>
  <c r="AR23" i="1"/>
  <c r="AR85" i="1" s="1"/>
  <c r="AO23" i="1"/>
  <c r="AE51" i="1"/>
  <c r="AC52" i="1"/>
  <c r="AM24" i="1"/>
  <c r="AW30" i="1" s="1"/>
  <c r="AT30" i="1" s="1"/>
  <c r="AL25" i="1"/>
  <c r="AN24" i="1"/>
  <c r="AN25" i="1" l="1"/>
  <c r="AM25" i="1"/>
  <c r="AR24" i="1" s="1"/>
  <c r="AR86" i="1" s="1"/>
  <c r="AE52" i="1"/>
  <c r="AC53" i="1"/>
  <c r="AU30" i="1"/>
  <c r="AV30" i="1" s="1"/>
  <c r="AO85" i="1"/>
  <c r="AT85" i="1" s="1"/>
  <c r="AO24" i="1"/>
  <c r="AQ24" i="1"/>
  <c r="AQ86" i="1" s="1"/>
  <c r="AW31" i="1"/>
  <c r="AT31" i="1" s="1"/>
  <c r="AU31" i="1" l="1"/>
  <c r="AV31" i="1" s="1"/>
  <c r="AO86" i="1"/>
  <c r="AT86" i="1" s="1"/>
  <c r="AO25" i="1"/>
  <c r="AQ25" i="1"/>
  <c r="AQ87" i="1" s="1"/>
  <c r="AW32" i="1"/>
  <c r="AT32" i="1" s="1"/>
  <c r="AR25" i="1"/>
  <c r="AR87" i="1" s="1"/>
  <c r="AE53" i="1"/>
  <c r="AC54" i="1"/>
  <c r="AC55" i="1" l="1"/>
  <c r="AE54" i="1"/>
  <c r="AU32" i="1"/>
  <c r="AV32" i="1" s="1"/>
  <c r="AV26" i="1" s="1"/>
  <c r="AO87" i="1"/>
  <c r="AT87" i="1" s="1"/>
  <c r="AT89" i="1" s="1"/>
  <c r="AQ9" i="1" s="1"/>
  <c r="AC56" i="1" l="1"/>
  <c r="AE55" i="1"/>
  <c r="AC57" i="1" l="1"/>
  <c r="AE56" i="1"/>
  <c r="AE57" i="1" l="1"/>
  <c r="AC58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<sst xmlns="http://schemas.openxmlformats.org/spreadsheetml/2006/main" count="185" uniqueCount="130">
  <si>
    <t>TOTAL</t>
  </si>
  <si>
    <t>Non Transferable</t>
  </si>
  <si>
    <t>Total Votes Polled</t>
  </si>
  <si>
    <t>9th Stage Received</t>
  </si>
  <si>
    <t>1st Preference</t>
  </si>
  <si>
    <t>Party Description</t>
  </si>
  <si>
    <t>Candidate</t>
  </si>
  <si>
    <t>Deemed Elected</t>
  </si>
  <si>
    <t>Non Transferable vote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</si>
  <si>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</si>
  <si>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</si>
  <si>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</si>
  <si>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</si>
  <si>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</si>
  <si>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</si>
  <si>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</si>
  <si>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</si>
  <si>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</si>
  <si>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</si>
  <si>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</si>
  <si>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</si>
  <si>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</si>
  <si>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 xml:space="preserve">Enter Timings </t>
  </si>
  <si>
    <t>Totals</t>
  </si>
  <si>
    <t>FORWARD to OVERVIEW OF STAGE 9</t>
  </si>
  <si>
    <t>Extent of error</t>
  </si>
  <si>
    <t>(c) - (j) = (p)</t>
  </si>
  <si>
    <t>Non-transferable difference</t>
  </si>
  <si>
    <t>MOVE TO EXCLUDE CANDIDATE FORM</t>
  </si>
  <si>
    <t>Non transferable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</si>
  <si>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</si>
  <si>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</si>
  <si>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</si>
  <si>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</si>
  <si>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</si>
  <si>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</si>
  <si>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</si>
  <si>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</si>
  <si>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</si>
  <si>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</si>
  <si>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</si>
  <si>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</si>
  <si>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</si>
  <si>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</si>
  <si>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</si>
  <si>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</si>
  <si>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</si>
  <si>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</si>
  <si>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</si>
  <si>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</si>
  <si>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(h)</t>
  </si>
  <si>
    <t>Number of papers transferable</t>
  </si>
  <si>
    <t>COMPLETE COLUMNS (f) AND (g) OPPOSITE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</si>
  <si>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</si>
  <si>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</si>
  <si>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</si>
  <si>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</si>
  <si>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</si>
  <si>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</si>
  <si>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</si>
  <si>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</si>
  <si>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</si>
  <si>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</si>
  <si>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</si>
  <si>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</si>
  <si>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</si>
  <si>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</si>
  <si>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</si>
  <si>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Total</t>
  </si>
  <si>
    <t>Description</t>
  </si>
  <si>
    <t>No</t>
  </si>
  <si>
    <t>Elected</t>
  </si>
  <si>
    <t>If the total surplus is transferred, the lowest candidate(s) will inevitably continue to be excluded, then exclude this/these candidate(s)</t>
  </si>
  <si>
    <t>Q2</t>
  </si>
  <si>
    <t>Result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</si>
  <si>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</si>
  <si>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</si>
  <si>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</si>
  <si>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</si>
  <si>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</si>
  <si>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</si>
  <si>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</si>
  <si>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</si>
  <si>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</si>
  <si>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Stage 9</t>
  </si>
  <si>
    <t>If the total surplus is transferred to lowest candidate - would this make a difference to the order - if yes - transfer the largest surplus, otherwise Exclude</t>
  </si>
  <si>
    <t>Q1</t>
  </si>
  <si>
    <t>BACK to Overview of STAGE 8</t>
  </si>
  <si>
    <t>Stage 10</t>
  </si>
  <si>
    <t>Stage 8</t>
  </si>
  <si>
    <t>Stage 7</t>
  </si>
  <si>
    <t>Stage 6</t>
  </si>
  <si>
    <t>Stage 5</t>
  </si>
  <si>
    <t>Stage 4</t>
  </si>
  <si>
    <t>Stage 3</t>
  </si>
  <si>
    <t>Stage 2</t>
  </si>
  <si>
    <t>Stage 1</t>
  </si>
  <si>
    <t>Total Papers</t>
  </si>
  <si>
    <t>Others</t>
  </si>
  <si>
    <t>First Preference</t>
  </si>
  <si>
    <t>If exclude enter y</t>
  </si>
  <si>
    <t>n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</si>
  <si>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</si>
  <si>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</si>
  <si>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</si>
  <si>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</si>
  <si>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</si>
  <si>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</si>
  <si>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</si>
  <si>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</si>
  <si>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</si>
  <si>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FORWARD TO STAGE 10</t>
  </si>
  <si>
    <t xml:space="preserve">% Poll </t>
  </si>
  <si>
    <t>Total Valid Votes</t>
  </si>
  <si>
    <t xml:space="preserve">Votes Polled </t>
  </si>
  <si>
    <t>Exclusion of Candidate(s)</t>
  </si>
  <si>
    <t>BACK to DECISION FORM</t>
  </si>
  <si>
    <t>Largest surplus value</t>
  </si>
  <si>
    <t xml:space="preserve">Electoral Quota of </t>
  </si>
  <si>
    <t xml:space="preserve">Invalid Votes </t>
  </si>
  <si>
    <t>Number to be Elected</t>
  </si>
  <si>
    <t xml:space="preserve">Eligible Electorate </t>
  </si>
  <si>
    <t>AE 113</t>
  </si>
  <si>
    <t>Date of Poll</t>
  </si>
  <si>
    <t>Total surplus votes</t>
  </si>
  <si>
    <t>BACK to DECISION FORM Stage 9</t>
  </si>
  <si>
    <t>EXCLUSION OF CANDIDATE(S) FORM</t>
  </si>
  <si>
    <t>TRANSFER OF SURPLUS VOTES FORM</t>
  </si>
  <si>
    <t>Decision Making  Elected / Exclude / Transfer Stage 9</t>
  </si>
  <si>
    <t>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</si>
</sst>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0" fillId="0" borderId="0" xfId="0" applyAlignment="1">
      <alignment horizontal="left"/>
    </xf>
    <xf numFmtId="164" fontId="0" fillId="0" borderId="9" xfId="0" applyNumberFormat="1" applyBorder="1"/>
    <xf numFmtId="164" fontId="0" fillId="0" borderId="10" xfId="0" applyNumberFormat="1" applyBorder="1"/>
    <xf numFmtId="164" fontId="0" fillId="4" borderId="11" xfId="0" applyNumberFormat="1" applyFill="1" applyBorder="1"/>
    <xf numFmtId="164" fontId="0" fillId="0" borderId="11" xfId="0" applyNumberForma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14" xfId="0" applyNumberFormat="1" applyBorder="1"/>
    <xf numFmtId="0" fontId="0" fillId="0" borderId="17" xfId="0" applyBorder="1" applyAlignment="1">
      <alignment horizontal="right"/>
    </xf>
    <xf numFmtId="0" fontId="8" fillId="5" borderId="18" xfId="1" applyFill="1" applyBorder="1" applyAlignment="1" applyProtection="1">
      <alignment horizontal="center" vertical="center"/>
    </xf>
    <xf numFmtId="0" fontId="8" fillId="5" borderId="19" xfId="1" applyFill="1" applyBorder="1" applyAlignment="1" applyProtection="1">
      <alignment horizontal="center" vertical="center"/>
    </xf>
    <xf numFmtId="0" fontId="8" fillId="5" borderId="20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/>
    <xf numFmtId="0" fontId="0" fillId="0" borderId="22" xfId="0" applyBorder="1"/>
    <xf numFmtId="0" fontId="0" fillId="0" borderId="23" xfId="0" applyBorder="1"/>
    <xf numFmtId="2" fontId="0" fillId="0" borderId="1" xfId="0" applyNumberFormat="1" applyBorder="1"/>
    <xf numFmtId="0" fontId="0" fillId="0" borderId="24" xfId="0" applyBorder="1" applyAlignment="1">
      <alignment horizontal="right"/>
    </xf>
    <xf numFmtId="2" fontId="0" fillId="0" borderId="11" xfId="0" applyNumberFormat="1" applyBorder="1"/>
    <xf numFmtId="2" fontId="0" fillId="6" borderId="12" xfId="0" applyNumberFormat="1" applyFill="1" applyBorder="1"/>
    <xf numFmtId="2" fontId="0" fillId="0" borderId="10" xfId="0" applyNumberFormat="1" applyBorder="1"/>
    <xf numFmtId="2" fontId="0" fillId="6" borderId="25" xfId="0" applyNumberFormat="1" applyFill="1" applyBorder="1"/>
    <xf numFmtId="2" fontId="0" fillId="0" borderId="26" xfId="0" applyNumberFormat="1" applyBorder="1"/>
    <xf numFmtId="2" fontId="0" fillId="6" borderId="27" xfId="0" applyNumberFormat="1" applyFill="1" applyBorder="1"/>
    <xf numFmtId="2" fontId="0" fillId="0" borderId="12" xfId="0" applyNumberFormat="1" applyBorder="1"/>
    <xf numFmtId="0" fontId="8" fillId="5" borderId="28" xfId="1" applyFill="1" applyBorder="1" applyAlignment="1" applyProtection="1">
      <alignment horizontal="center" vertical="center"/>
    </xf>
    <xf numFmtId="0" fontId="8" fillId="5" borderId="29" xfId="1" applyFill="1" applyBorder="1" applyAlignment="1" applyProtection="1">
      <alignment horizontal="center" vertical="center"/>
    </xf>
    <xf numFmtId="0" fontId="8" fillId="5" borderId="30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31" xfId="0" applyNumberFormat="1" applyBorder="1"/>
    <xf numFmtId="2" fontId="0" fillId="7" borderId="32" xfId="0" applyNumberFormat="1" applyFill="1" applyBorder="1"/>
    <xf numFmtId="2" fontId="0" fillId="0" borderId="33" xfId="0" applyNumberFormat="1" applyBorder="1"/>
    <xf numFmtId="2" fontId="0" fillId="7" borderId="26" xfId="0" applyNumberFormat="1" applyFill="1" applyBorder="1"/>
    <xf numFmtId="2" fontId="0" fillId="6" borderId="34" xfId="0" applyNumberFormat="1" applyFill="1" applyBorder="1"/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6" xfId="0" applyNumberFormat="1" applyBorder="1"/>
    <xf numFmtId="2" fontId="0" fillId="7" borderId="37" xfId="0" applyNumberFormat="1" applyFill="1" applyBorder="1"/>
    <xf numFmtId="2" fontId="0" fillId="0" borderId="38" xfId="0" applyNumberFormat="1" applyBorder="1"/>
    <xf numFmtId="2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4" borderId="1" xfId="0" applyFill="1" applyBorder="1" applyProtection="1">
      <protection locked="0"/>
    </xf>
    <xf numFmtId="0" fontId="0" fillId="0" borderId="42" xfId="0" applyBorder="1"/>
    <xf numFmtId="2" fontId="9" fillId="0" borderId="11" xfId="0" applyNumberFormat="1" applyFont="1" applyBorder="1"/>
    <xf numFmtId="0" fontId="0" fillId="0" borderId="43" xfId="0" applyBorder="1"/>
    <xf numFmtId="0" fontId="0" fillId="0" borderId="44" xfId="0" applyBorder="1"/>
    <xf numFmtId="0" fontId="0" fillId="4" borderId="11" xfId="0" applyFill="1" applyBorder="1"/>
    <xf numFmtId="0" fontId="0" fillId="0" borderId="45" xfId="0" applyBorder="1"/>
    <xf numFmtId="0" fontId="0" fillId="4" borderId="46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7" xfId="0" applyBorder="1"/>
    <xf numFmtId="0" fontId="7" fillId="0" borderId="0" xfId="0" applyFont="1" applyAlignment="1">
      <alignment wrapText="1"/>
    </xf>
    <xf numFmtId="0" fontId="0" fillId="4" borderId="1" xfId="0" applyFill="1" applyBorder="1"/>
    <xf numFmtId="0" fontId="0" fillId="0" borderId="24" xfId="0" applyBorder="1"/>
    <xf numFmtId="0" fontId="0" fillId="0" borderId="47" xfId="0" applyBorder="1"/>
    <xf numFmtId="0" fontId="7" fillId="0" borderId="48" xfId="0" applyFont="1" applyBorder="1"/>
    <xf numFmtId="0" fontId="7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4" borderId="22" xfId="0" applyFill="1" applyBorder="1"/>
    <xf numFmtId="0" fontId="7" fillId="0" borderId="2" xfId="0" applyFont="1" applyBorder="1"/>
    <xf numFmtId="0" fontId="7" fillId="0" borderId="4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35" xfId="0" applyBorder="1"/>
    <xf numFmtId="0" fontId="7" fillId="0" borderId="4" xfId="0" applyFont="1" applyBorder="1"/>
    <xf numFmtId="0" fontId="7" fillId="0" borderId="4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0" fillId="0" borderId="42" xfId="0" applyNumberFormat="1" applyBorder="1"/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20" xfId="0" applyBorder="1"/>
    <xf numFmtId="0" fontId="0" fillId="0" borderId="51" xfId="0" applyBorder="1"/>
    <xf numFmtId="0" fontId="0" fillId="0" borderId="0" xfId="0" applyAlignment="1">
      <alignment horizontal="center" wrapText="1"/>
    </xf>
    <xf numFmtId="0" fontId="0" fillId="0" borderId="34" xfId="0" applyBorder="1"/>
    <xf numFmtId="0" fontId="0" fillId="0" borderId="0" xfId="0" applyAlignment="1">
      <alignment horizontal="center"/>
    </xf>
    <xf numFmtId="2" fontId="0" fillId="4" borderId="11" xfId="0" applyNumberFormat="1" applyFill="1" applyBorder="1"/>
    <xf numFmtId="0" fontId="7" fillId="0" borderId="36" xfId="0" applyFont="1" applyBorder="1"/>
    <xf numFmtId="0" fontId="0" fillId="0" borderId="52" xfId="0" applyBorder="1"/>
    <xf numFmtId="0" fontId="0" fillId="0" borderId="53" xfId="0" applyBorder="1"/>
    <xf numFmtId="0" fontId="0" fillId="0" borderId="36" xfId="0" applyBorder="1"/>
    <xf numFmtId="2" fontId="0" fillId="0" borderId="52" xfId="0" applyNumberFormat="1" applyBorder="1"/>
    <xf numFmtId="0" fontId="0" fillId="0" borderId="26" xfId="0" applyBorder="1" applyAlignment="1">
      <alignment horizontal="right"/>
    </xf>
    <xf numFmtId="0" fontId="6" fillId="0" borderId="1" xfId="0" applyFont="1" applyBorder="1"/>
    <xf numFmtId="0" fontId="6" fillId="4" borderId="1" xfId="0" applyFont="1" applyFill="1" applyBorder="1"/>
    <xf numFmtId="0" fontId="0" fillId="4" borderId="54" xfId="0" applyFill="1" applyBorder="1"/>
    <xf numFmtId="0" fontId="0" fillId="0" borderId="28" xfId="0" applyBorder="1"/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9" xfId="0" applyBorder="1"/>
    <xf numFmtId="0" fontId="7" fillId="0" borderId="30" xfId="0" applyFont="1" applyBorder="1"/>
    <xf numFmtId="0" fontId="0" fillId="0" borderId="9" xfId="0" applyBorder="1"/>
    <xf numFmtId="0" fontId="0" fillId="0" borderId="10" xfId="0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10" fillId="0" borderId="0" xfId="0" applyFont="1"/>
    <xf numFmtId="0" fontId="0" fillId="0" borderId="11" xfId="0" applyBorder="1"/>
    <xf numFmtId="2" fontId="0" fillId="0" borderId="55" xfId="0" applyNumberFormat="1" applyBorder="1"/>
    <xf numFmtId="0" fontId="0" fillId="0" borderId="56" xfId="0" applyBorder="1"/>
    <xf numFmtId="0" fontId="0" fillId="0" borderId="37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7" xfId="0" applyBorder="1"/>
    <xf numFmtId="0" fontId="0" fillId="0" borderId="11" xfId="0" applyBorder="1" applyAlignment="1">
      <alignment horizontal="center"/>
    </xf>
    <xf numFmtId="0" fontId="5" fillId="0" borderId="0" xfId="0" applyFont="1"/>
    <xf numFmtId="0" fontId="11" fillId="0" borderId="0" xfId="0" applyFont="1"/>
    <xf numFmtId="0" fontId="0" fillId="7" borderId="58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60" xfId="0" applyBorder="1"/>
    <xf numFmtId="0" fontId="0" fillId="0" borderId="47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5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" xfId="0" applyFill="1" applyBorder="1"/>
    <xf numFmtId="0" fontId="0" fillId="4" borderId="11" xfId="0" applyFill="1" applyBorder="1" applyAlignment="1">
      <alignment horizontal="center"/>
    </xf>
    <xf numFmtId="0" fontId="0" fillId="0" borderId="4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4" xfId="0" applyBorder="1"/>
    <xf numFmtId="0" fontId="0" fillId="8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8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26" xfId="0" applyBorder="1" applyAlignment="1">
      <alignment wrapText="1"/>
    </xf>
    <xf numFmtId="0" fontId="11" fillId="0" borderId="0" xfId="0" applyFont="1" applyAlignment="1">
      <alignment vertical="top"/>
    </xf>
    <xf numFmtId="0" fontId="1" fillId="0" borderId="11" xfId="0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5" borderId="9" xfId="1" applyFill="1" applyBorder="1" applyAlignment="1" applyProtection="1">
      <alignment horizontal="center" vertical="center"/>
    </xf>
    <xf numFmtId="0" fontId="8" fillId="5" borderId="10" xfId="1" applyFill="1" applyBorder="1" applyAlignment="1" applyProtection="1">
      <alignment horizontal="center" vertical="center"/>
    </xf>
    <xf numFmtId="0" fontId="8" fillId="5" borderId="12" xfId="1" applyFill="1" applyBorder="1" applyAlignment="1" applyProtection="1">
      <alignment horizontal="center" vertical="center"/>
    </xf>
    <xf numFmtId="2" fontId="5" fillId="7" borderId="11" xfId="0" applyNumberFormat="1" applyFont="1" applyFill="1" applyBorder="1"/>
    <xf numFmtId="0" fontId="0" fillId="0" borderId="51" xfId="0" applyBorder="1" applyAlignment="1">
      <alignment horizontal="right"/>
    </xf>
    <xf numFmtId="0" fontId="0" fillId="0" borderId="34" xfId="0" applyBorder="1" applyAlignment="1">
      <alignment horizontal="right"/>
    </xf>
    <xf numFmtId="0" fontId="5" fillId="7" borderId="40" xfId="0" applyFont="1" applyFill="1" applyBorder="1"/>
    <xf numFmtId="0" fontId="0" fillId="0" borderId="0" xfId="0" applyAlignment="1">
      <alignment horizontal="right"/>
    </xf>
    <xf numFmtId="0" fontId="5" fillId="7" borderId="11" xfId="0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0" xfId="0" applyFont="1"/>
    <xf numFmtId="0" fontId="4" fillId="0" borderId="11" xfId="0" applyFont="1" applyBorder="1" applyAlignment="1">
      <alignment horizontal="center"/>
    </xf>
    <xf numFmtId="44" fontId="8" fillId="0" borderId="0" xfId="1" applyNumberFormat="1" applyFill="1" applyBorder="1" applyAlignment="1" applyProtection="1"/>
    <xf numFmtId="0" fontId="5" fillId="7" borderId="56" xfId="0" applyFont="1" applyFill="1" applyBorder="1"/>
    <xf numFmtId="0" fontId="8" fillId="0" borderId="0" xfId="1" applyFill="1" applyBorder="1" applyAlignment="1" applyProtection="1">
      <alignment horizontal="left"/>
    </xf>
    <xf numFmtId="15" fontId="0" fillId="0" borderId="0" xfId="0" applyNumberFormat="1"/>
    <xf numFmtId="0" fontId="13" fillId="0" borderId="0" xfId="0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lculator%20Sheets\NI%20Assembly%20Election%202022%20-%20Calculator%20Sheet%20-%20Upper%20B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91149</v>
          </cell>
        </row>
        <row r="3">
          <cell r="A3" t="str">
            <v xml:space="preserve">Constituency of </v>
          </cell>
          <cell r="B3" t="str">
            <v>Upper Bann</v>
          </cell>
          <cell r="G3">
            <v>5</v>
          </cell>
          <cell r="L3">
            <v>56954</v>
          </cell>
        </row>
        <row r="4">
          <cell r="G4">
            <v>9351</v>
          </cell>
        </row>
        <row r="5">
          <cell r="L5">
            <v>62.484503395539171</v>
          </cell>
        </row>
        <row r="10">
          <cell r="J10" t="str">
            <v>BARR, Glenn</v>
          </cell>
          <cell r="K10" t="str">
            <v>Ulster Unionist Party</v>
          </cell>
          <cell r="L10">
            <v>3367</v>
          </cell>
        </row>
        <row r="11">
          <cell r="J11" t="str">
            <v>BEATTIE, Doug</v>
          </cell>
          <cell r="K11" t="str">
            <v>Ulster Unionist Party</v>
          </cell>
          <cell r="L11">
            <v>5199</v>
          </cell>
        </row>
        <row r="12">
          <cell r="J12" t="str">
            <v>BEATTIE, Glenn</v>
          </cell>
          <cell r="K12" t="str">
            <v>Heritage Party - Pro-freedom. Pro-family. Pro-life.</v>
          </cell>
          <cell r="L12">
            <v>128</v>
          </cell>
        </row>
        <row r="13">
          <cell r="J13" t="str">
            <v>BUCKLEY, Jonathan Glen</v>
          </cell>
          <cell r="K13" t="str">
            <v>Democratic Unionist Party - D.U.P.</v>
          </cell>
          <cell r="L13">
            <v>8869</v>
          </cell>
        </row>
        <row r="14">
          <cell r="J14" t="str">
            <v>DODDS, Diane</v>
          </cell>
          <cell r="K14" t="str">
            <v>Democratic Unionist Party - D.U.P.</v>
          </cell>
          <cell r="L14">
            <v>6548</v>
          </cell>
        </row>
        <row r="15">
          <cell r="J15" t="str">
            <v>FOSTER, Darrin</v>
          </cell>
          <cell r="K15" t="str">
            <v>TUV - No Sea Border</v>
          </cell>
          <cell r="L15">
            <v>4373</v>
          </cell>
        </row>
        <row r="16">
          <cell r="J16" t="str">
            <v>GRIBBIN, Aidan</v>
          </cell>
          <cell r="K16" t="str">
            <v>Aontú for Life, Unity, Economic Justice</v>
          </cell>
          <cell r="L16">
            <v>571</v>
          </cell>
        </row>
        <row r="17">
          <cell r="J17" t="str">
            <v>KELLY, Dolores</v>
          </cell>
          <cell r="K17" t="str">
            <v>SDLP (Social Democratic &amp; Labour Party)</v>
          </cell>
          <cell r="L17">
            <v>3645</v>
          </cell>
        </row>
        <row r="18">
          <cell r="J18" t="str">
            <v>KENDALL, Lauren</v>
          </cell>
          <cell r="K18" t="str">
            <v>Green Party Northern Ireland</v>
          </cell>
          <cell r="L18">
            <v>459</v>
          </cell>
        </row>
        <row r="19">
          <cell r="J19" t="str">
            <v>MACKLE, Liam</v>
          </cell>
          <cell r="K19" t="str">
            <v>Sinn Féin</v>
          </cell>
          <cell r="L19">
            <v>7260</v>
          </cell>
        </row>
        <row r="20">
          <cell r="J20" t="str">
            <v>O'DOWD, John</v>
          </cell>
          <cell r="K20" t="str">
            <v>Sinn Féin</v>
          </cell>
          <cell r="L20">
            <v>9242</v>
          </cell>
        </row>
        <row r="21">
          <cell r="J21" t="str">
            <v>TENNYSON, Eóin</v>
          </cell>
          <cell r="K21" t="str">
            <v>Alliance Party</v>
          </cell>
          <cell r="L21">
            <v>6440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853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Beattie, Kendall,Gribbon</v>
          </cell>
        </row>
        <row r="11">
          <cell r="F11">
            <v>33</v>
          </cell>
          <cell r="G11">
            <v>3400</v>
          </cell>
        </row>
        <row r="12">
          <cell r="F12">
            <v>37</v>
          </cell>
          <cell r="G12">
            <v>5236</v>
          </cell>
        </row>
        <row r="13">
          <cell r="F13">
            <v>-128</v>
          </cell>
          <cell r="G13">
            <v>0</v>
          </cell>
        </row>
        <row r="14">
          <cell r="F14">
            <v>90</v>
          </cell>
          <cell r="G14">
            <v>8959</v>
          </cell>
        </row>
        <row r="15">
          <cell r="F15">
            <v>45</v>
          </cell>
          <cell r="G15">
            <v>6593</v>
          </cell>
        </row>
        <row r="16">
          <cell r="F16">
            <v>72</v>
          </cell>
          <cell r="G16">
            <v>4445</v>
          </cell>
        </row>
        <row r="17">
          <cell r="F17">
            <v>-571</v>
          </cell>
          <cell r="G17">
            <v>0</v>
          </cell>
        </row>
        <row r="18">
          <cell r="F18">
            <v>198</v>
          </cell>
          <cell r="G18">
            <v>3843</v>
          </cell>
        </row>
        <row r="19">
          <cell r="F19">
            <v>-459</v>
          </cell>
          <cell r="G19">
            <v>0</v>
          </cell>
        </row>
        <row r="20">
          <cell r="F20">
            <v>91</v>
          </cell>
          <cell r="G20">
            <v>7351</v>
          </cell>
        </row>
        <row r="21">
          <cell r="F21">
            <v>76</v>
          </cell>
          <cell r="G21">
            <v>9318</v>
          </cell>
        </row>
        <row r="22">
          <cell r="F22">
            <v>322</v>
          </cell>
          <cell r="G22">
            <v>6762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194</v>
          </cell>
          <cell r="G31">
            <v>194</v>
          </cell>
        </row>
        <row r="32">
          <cell r="G32">
            <v>56101</v>
          </cell>
        </row>
        <row r="34">
          <cell r="E34">
            <v>0.7284722222222223</v>
          </cell>
          <cell r="G34">
            <v>0.81597222222222221</v>
          </cell>
        </row>
      </sheetData>
      <sheetData sheetId="5">
        <row r="7">
          <cell r="H7" t="str">
            <v>Exclude</v>
          </cell>
        </row>
        <row r="8">
          <cell r="H8" t="str">
            <v>BARR</v>
          </cell>
        </row>
        <row r="11">
          <cell r="H11">
            <v>-3400</v>
          </cell>
          <cell r="I11">
            <v>0</v>
          </cell>
        </row>
        <row r="12">
          <cell r="H12">
            <v>2475</v>
          </cell>
          <cell r="I12">
            <v>7711</v>
          </cell>
        </row>
        <row r="13">
          <cell r="H13">
            <v>0</v>
          </cell>
          <cell r="I13">
            <v>0</v>
          </cell>
        </row>
        <row r="14">
          <cell r="H14">
            <v>231</v>
          </cell>
          <cell r="I14">
            <v>9190</v>
          </cell>
        </row>
        <row r="15">
          <cell r="H15">
            <v>331</v>
          </cell>
          <cell r="I15">
            <v>6924</v>
          </cell>
        </row>
        <row r="16">
          <cell r="H16">
            <v>162</v>
          </cell>
          <cell r="I16">
            <v>4607</v>
          </cell>
        </row>
        <row r="17">
          <cell r="H17">
            <v>0</v>
          </cell>
          <cell r="I17">
            <v>0</v>
          </cell>
        </row>
        <row r="18">
          <cell r="H18">
            <v>32</v>
          </cell>
          <cell r="I18">
            <v>3875</v>
          </cell>
        </row>
        <row r="19">
          <cell r="H19">
            <v>0</v>
          </cell>
          <cell r="I19">
            <v>0</v>
          </cell>
        </row>
        <row r="20">
          <cell r="H20">
            <v>3</v>
          </cell>
          <cell r="I20">
            <v>7354</v>
          </cell>
        </row>
        <row r="21">
          <cell r="H21">
            <v>5</v>
          </cell>
          <cell r="I21">
            <v>9323</v>
          </cell>
        </row>
        <row r="22">
          <cell r="H22">
            <v>107</v>
          </cell>
          <cell r="I22">
            <v>6869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54</v>
          </cell>
          <cell r="I31">
            <v>248</v>
          </cell>
        </row>
        <row r="32">
          <cell r="I32">
            <v>56101</v>
          </cell>
        </row>
        <row r="34">
          <cell r="I34">
            <v>0.86805555555555547</v>
          </cell>
        </row>
      </sheetData>
      <sheetData sheetId="6">
        <row r="7">
          <cell r="J7" t="str">
            <v>Exclude</v>
          </cell>
        </row>
        <row r="8">
          <cell r="J8" t="str">
            <v>KELLY</v>
          </cell>
        </row>
        <row r="11">
          <cell r="J11">
            <v>0</v>
          </cell>
          <cell r="K11">
            <v>0</v>
          </cell>
        </row>
        <row r="12">
          <cell r="J12">
            <v>182</v>
          </cell>
          <cell r="K12">
            <v>7893</v>
          </cell>
        </row>
        <row r="13">
          <cell r="J13">
            <v>0</v>
          </cell>
          <cell r="K13">
            <v>0</v>
          </cell>
        </row>
        <row r="14">
          <cell r="J14">
            <v>42</v>
          </cell>
          <cell r="K14">
            <v>9232</v>
          </cell>
        </row>
        <row r="15">
          <cell r="J15">
            <v>49</v>
          </cell>
          <cell r="K15">
            <v>6973</v>
          </cell>
        </row>
        <row r="16">
          <cell r="J16">
            <v>19</v>
          </cell>
          <cell r="K16">
            <v>4626</v>
          </cell>
        </row>
        <row r="17">
          <cell r="J17">
            <v>0</v>
          </cell>
          <cell r="K17">
            <v>0</v>
          </cell>
        </row>
        <row r="18">
          <cell r="J18">
            <v>-3875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J20">
            <v>758</v>
          </cell>
          <cell r="K20">
            <v>8112</v>
          </cell>
        </row>
        <row r="21">
          <cell r="J21">
            <v>823</v>
          </cell>
          <cell r="K21">
            <v>10146</v>
          </cell>
        </row>
        <row r="22">
          <cell r="J22">
            <v>1722</v>
          </cell>
          <cell r="K22">
            <v>8591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280</v>
          </cell>
          <cell r="K31">
            <v>528</v>
          </cell>
        </row>
        <row r="32">
          <cell r="K32">
            <v>56101</v>
          </cell>
        </row>
        <row r="34">
          <cell r="K34">
            <v>0.95138888888888884</v>
          </cell>
        </row>
      </sheetData>
      <sheetData sheetId="7">
        <row r="7">
          <cell r="L7" t="str">
            <v>Exclude</v>
          </cell>
        </row>
        <row r="8">
          <cell r="L8" t="str">
            <v>FOSTER</v>
          </cell>
        </row>
        <row r="11">
          <cell r="L11">
            <v>0</v>
          </cell>
          <cell r="M11">
            <v>0</v>
          </cell>
        </row>
        <row r="12">
          <cell r="L12">
            <v>679</v>
          </cell>
          <cell r="M12">
            <v>8572</v>
          </cell>
        </row>
        <row r="13">
          <cell r="L13">
            <v>0</v>
          </cell>
          <cell r="M13">
            <v>0</v>
          </cell>
        </row>
        <row r="14">
          <cell r="L14">
            <v>2268</v>
          </cell>
          <cell r="M14">
            <v>11500</v>
          </cell>
        </row>
        <row r="15">
          <cell r="L15">
            <v>1301</v>
          </cell>
          <cell r="M15">
            <v>8274</v>
          </cell>
        </row>
        <row r="16">
          <cell r="L16">
            <v>-4626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11</v>
          </cell>
          <cell r="M20">
            <v>8123</v>
          </cell>
        </row>
        <row r="21">
          <cell r="L21">
            <v>0</v>
          </cell>
          <cell r="M21">
            <v>10146</v>
          </cell>
        </row>
        <row r="22">
          <cell r="L22">
            <v>85</v>
          </cell>
          <cell r="M22">
            <v>8676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282</v>
          </cell>
          <cell r="M31">
            <v>810</v>
          </cell>
        </row>
        <row r="32">
          <cell r="M32">
            <v>56101</v>
          </cell>
        </row>
        <row r="34">
          <cell r="M34">
            <v>0.47222222222222227</v>
          </cell>
        </row>
      </sheetData>
      <sheetData sheetId="8">
        <row r="7">
          <cell r="N7" t="str">
            <v>Transfer</v>
          </cell>
        </row>
        <row r="8">
          <cell r="N8" t="str">
            <v>BUCKLEY, Jonathan Glen</v>
          </cell>
        </row>
        <row r="11">
          <cell r="N11">
            <v>0</v>
          </cell>
          <cell r="O11">
            <v>0</v>
          </cell>
        </row>
        <row r="12">
          <cell r="N12">
            <v>192</v>
          </cell>
          <cell r="O12">
            <v>8764</v>
          </cell>
        </row>
        <row r="13">
          <cell r="N13">
            <v>0</v>
          </cell>
          <cell r="O13">
            <v>0</v>
          </cell>
        </row>
        <row r="14">
          <cell r="N14">
            <v>-2149</v>
          </cell>
          <cell r="O14">
            <v>9351</v>
          </cell>
        </row>
        <row r="15">
          <cell r="N15">
            <v>1908</v>
          </cell>
          <cell r="O15">
            <v>10182</v>
          </cell>
        </row>
        <row r="16">
          <cell r="N16">
            <v>0</v>
          </cell>
          <cell r="O16">
            <v>0</v>
          </cell>
        </row>
        <row r="17">
          <cell r="N17">
            <v>0</v>
          </cell>
          <cell r="O17">
            <v>0</v>
          </cell>
        </row>
        <row r="18">
          <cell r="N18">
            <v>0</v>
          </cell>
          <cell r="O18">
            <v>0</v>
          </cell>
        </row>
        <row r="19">
          <cell r="N19">
            <v>0</v>
          </cell>
          <cell r="O19">
            <v>0</v>
          </cell>
        </row>
        <row r="20">
          <cell r="N20">
            <v>1</v>
          </cell>
          <cell r="O20">
            <v>8124</v>
          </cell>
        </row>
        <row r="21">
          <cell r="N21">
            <v>0</v>
          </cell>
          <cell r="O21">
            <v>10146</v>
          </cell>
        </row>
        <row r="22">
          <cell r="N22">
            <v>9</v>
          </cell>
          <cell r="O22">
            <v>8685</v>
          </cell>
        </row>
        <row r="23">
          <cell r="N23">
            <v>0</v>
          </cell>
          <cell r="O23">
            <v>0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39</v>
          </cell>
          <cell r="O31">
            <v>849</v>
          </cell>
        </row>
        <row r="32">
          <cell r="O32">
            <v>56101</v>
          </cell>
        </row>
        <row r="34">
          <cell r="O34">
            <v>0.52777777777777779</v>
          </cell>
        </row>
      </sheetData>
      <sheetData sheetId="9">
        <row r="7">
          <cell r="P7" t="str">
            <v>Transfer</v>
          </cell>
        </row>
        <row r="8">
          <cell r="P8" t="str">
            <v>DODDS, Diane</v>
          </cell>
        </row>
        <row r="11">
          <cell r="P11">
            <v>0</v>
          </cell>
          <cell r="Q11">
            <v>0</v>
          </cell>
        </row>
        <row r="12">
          <cell r="P12">
            <v>807.9799999999999</v>
          </cell>
          <cell r="Q12">
            <v>9571.98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9351</v>
          </cell>
        </row>
        <row r="15">
          <cell r="P15">
            <v>-831</v>
          </cell>
          <cell r="Q15">
            <v>9351</v>
          </cell>
        </row>
        <row r="16">
          <cell r="P16">
            <v>0</v>
          </cell>
          <cell r="Q16">
            <v>0</v>
          </cell>
        </row>
        <row r="17">
          <cell r="P17">
            <v>0</v>
          </cell>
          <cell r="Q17">
            <v>0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0.71</v>
          </cell>
          <cell r="Q20">
            <v>8124.71</v>
          </cell>
        </row>
        <row r="21">
          <cell r="P21">
            <v>0</v>
          </cell>
          <cell r="Q21">
            <v>10146</v>
          </cell>
        </row>
        <row r="22">
          <cell r="P22">
            <v>12.78</v>
          </cell>
          <cell r="Q22">
            <v>8697.7800000000007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9.5300000000000864</v>
          </cell>
          <cell r="Q31">
            <v>858.53000000000009</v>
          </cell>
        </row>
        <row r="32">
          <cell r="Q32">
            <v>56101</v>
          </cell>
        </row>
        <row r="34">
          <cell r="Q34">
            <v>0.57986111111111105</v>
          </cell>
        </row>
      </sheetData>
      <sheetData sheetId="10">
        <row r="7">
          <cell r="R7" t="str">
            <v>Transfer</v>
          </cell>
        </row>
        <row r="8">
          <cell r="R8" t="str">
            <v>O'DOWD, John</v>
          </cell>
        </row>
        <row r="11">
          <cell r="A11" t="str">
            <v>Excluded</v>
          </cell>
          <cell r="B11">
            <v>0</v>
          </cell>
          <cell r="R11">
            <v>0</v>
          </cell>
          <cell r="S11">
            <v>0</v>
          </cell>
        </row>
        <row r="12">
          <cell r="A12" t="str">
            <v>Elected</v>
          </cell>
          <cell r="B12">
            <v>0</v>
          </cell>
          <cell r="R12">
            <v>0</v>
          </cell>
          <cell r="S12">
            <v>9571.98</v>
          </cell>
        </row>
        <row r="13">
          <cell r="A13" t="str">
            <v>Excluded</v>
          </cell>
          <cell r="B13">
            <v>0</v>
          </cell>
          <cell r="R13">
            <v>0</v>
          </cell>
          <cell r="S13">
            <v>0</v>
          </cell>
        </row>
        <row r="14">
          <cell r="A14" t="str">
            <v>Elected</v>
          </cell>
          <cell r="B14">
            <v>0</v>
          </cell>
          <cell r="R14">
            <v>0</v>
          </cell>
          <cell r="S14">
            <v>9351</v>
          </cell>
        </row>
        <row r="15">
          <cell r="A15" t="str">
            <v>Elected</v>
          </cell>
          <cell r="B15">
            <v>0</v>
          </cell>
          <cell r="R15">
            <v>0</v>
          </cell>
          <cell r="S15">
            <v>9351</v>
          </cell>
        </row>
        <row r="16">
          <cell r="A16" t="str">
            <v>Excluded</v>
          </cell>
          <cell r="B16">
            <v>0</v>
          </cell>
          <cell r="R16">
            <v>0</v>
          </cell>
          <cell r="S16">
            <v>0</v>
          </cell>
        </row>
        <row r="17">
          <cell r="A17" t="str">
            <v>Excluded</v>
          </cell>
          <cell r="B17">
            <v>0</v>
          </cell>
          <cell r="R17">
            <v>0</v>
          </cell>
          <cell r="S17">
            <v>0</v>
          </cell>
        </row>
        <row r="18">
          <cell r="A18" t="str">
            <v>Excluded</v>
          </cell>
          <cell r="B18">
            <v>0</v>
          </cell>
          <cell r="R18">
            <v>0</v>
          </cell>
          <cell r="S18">
            <v>0</v>
          </cell>
        </row>
        <row r="19">
          <cell r="A19" t="str">
            <v>Excluded</v>
          </cell>
          <cell r="B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R20">
            <v>464</v>
          </cell>
          <cell r="S20">
            <v>8588.7099999999991</v>
          </cell>
        </row>
        <row r="21">
          <cell r="A21" t="str">
            <v>Elected</v>
          </cell>
          <cell r="B21">
            <v>0</v>
          </cell>
          <cell r="R21">
            <v>-795</v>
          </cell>
          <cell r="S21">
            <v>9351</v>
          </cell>
        </row>
        <row r="22">
          <cell r="B22">
            <v>0</v>
          </cell>
          <cell r="R22">
            <v>267</v>
          </cell>
          <cell r="S22">
            <v>8964.7800000000007</v>
          </cell>
        </row>
        <row r="23">
          <cell r="A23">
            <v>0</v>
          </cell>
          <cell r="B23">
            <v>0</v>
          </cell>
          <cell r="R23">
            <v>0</v>
          </cell>
          <cell r="S23">
            <v>0</v>
          </cell>
        </row>
        <row r="24">
          <cell r="A24">
            <v>0</v>
          </cell>
          <cell r="B24">
            <v>0</v>
          </cell>
          <cell r="R24">
            <v>0</v>
          </cell>
          <cell r="S24">
            <v>0</v>
          </cell>
        </row>
        <row r="25">
          <cell r="A25">
            <v>0</v>
          </cell>
          <cell r="B25">
            <v>0</v>
          </cell>
          <cell r="R25">
            <v>0</v>
          </cell>
          <cell r="S25">
            <v>0</v>
          </cell>
        </row>
        <row r="26">
          <cell r="A26">
            <v>0</v>
          </cell>
          <cell r="B26">
            <v>0</v>
          </cell>
          <cell r="R26">
            <v>0</v>
          </cell>
          <cell r="S26">
            <v>0</v>
          </cell>
        </row>
        <row r="27">
          <cell r="A27">
            <v>0</v>
          </cell>
          <cell r="B27">
            <v>0</v>
          </cell>
          <cell r="R27">
            <v>0</v>
          </cell>
          <cell r="S27">
            <v>0</v>
          </cell>
        </row>
        <row r="28">
          <cell r="A28">
            <v>0</v>
          </cell>
          <cell r="B28">
            <v>0</v>
          </cell>
          <cell r="R28">
            <v>0</v>
          </cell>
          <cell r="S28">
            <v>0</v>
          </cell>
        </row>
        <row r="29">
          <cell r="A29">
            <v>0</v>
          </cell>
          <cell r="B29">
            <v>0</v>
          </cell>
          <cell r="R29">
            <v>0</v>
          </cell>
          <cell r="S29">
            <v>0</v>
          </cell>
        </row>
        <row r="30">
          <cell r="A30">
            <v>0</v>
          </cell>
          <cell r="B30">
            <v>0</v>
          </cell>
          <cell r="R30">
            <v>0</v>
          </cell>
          <cell r="S30">
            <v>0</v>
          </cell>
        </row>
        <row r="31">
          <cell r="R31">
            <v>64</v>
          </cell>
          <cell r="S31">
            <v>922.53000000000009</v>
          </cell>
        </row>
        <row r="32">
          <cell r="S32">
            <v>56101</v>
          </cell>
        </row>
        <row r="34">
          <cell r="S34">
            <v>0.625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21" sqref="A21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85546875" customWidth="1"/>
    <col min="25" max="25" width="4.1406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140625" customWidth="1"/>
    <col min="44" max="44" width="16.42578125" customWidth="1"/>
    <col min="45" max="45" width="226" customWidth="1"/>
    <col min="50" max="50" width="217" customWidth="1"/>
    <col min="51" max="51" width="5.28515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7.140625" customWidth="1"/>
    <col min="67" max="67" width="9.4257812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221" t="str">
        <f>'[1]Verification of Boxes'!B1</f>
        <v>NI Assembly Election</v>
      </c>
      <c r="F1" s="154" t="s">
        <v>84</v>
      </c>
      <c r="J1" s="220" t="s">
        <v>123</v>
      </c>
      <c r="K1" s="219">
        <f>'[1]Basic Input'!C2</f>
        <v>44686</v>
      </c>
      <c r="L1" s="219"/>
      <c r="Z1" s="154" t="s">
        <v>128</v>
      </c>
      <c r="AQ1" s="26"/>
      <c r="AZ1" s="154" t="s">
        <v>127</v>
      </c>
      <c r="BE1" s="218" t="str">
        <f>IF(AT5="T","COMPLETE THIS FORM","YOU HAVE NOT SELECTED TO COMPLETE THIS FORM")</f>
        <v>YOU HAVE NOT SELECTED TO COMPLETE THIS FORM</v>
      </c>
      <c r="BR1" s="154" t="s">
        <v>126</v>
      </c>
      <c r="BY1" s="218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154" t="str">
        <f>'[1]Verification of Boxes'!A3</f>
        <v xml:space="preserve">Constituency of </v>
      </c>
      <c r="D2" s="154" t="str">
        <f>'[1]Verification of Boxes'!B3</f>
        <v>Upper Bann</v>
      </c>
      <c r="O2" s="197" t="s">
        <v>125</v>
      </c>
      <c r="P2" s="196"/>
      <c r="Q2" s="196"/>
      <c r="R2" s="196"/>
      <c r="S2" s="195"/>
      <c r="Z2" s="194" t="s">
        <v>124</v>
      </c>
      <c r="AA2" s="194"/>
      <c r="AB2" s="194"/>
      <c r="AC2" s="194"/>
      <c r="AD2" s="194"/>
      <c r="AE2" s="194"/>
      <c r="AF2" s="193"/>
      <c r="AG2" s="152">
        <f>SUM(AF14:AF33)</f>
        <v>220.97999999999956</v>
      </c>
      <c r="AZ2" s="154" t="str">
        <f>'[1]Verification of Boxes'!B1</f>
        <v>NI Assembly Election</v>
      </c>
      <c r="BE2" t="s">
        <v>123</v>
      </c>
      <c r="BF2" s="217">
        <f>'[1]Basic Input'!C2</f>
        <v>44686</v>
      </c>
      <c r="BG2" s="59" t="s">
        <v>122</v>
      </c>
      <c r="BI2" s="216"/>
      <c r="BJ2" s="216"/>
      <c r="BK2" s="216"/>
      <c r="BR2" s="23" t="s">
        <v>84</v>
      </c>
      <c r="CB2" s="197" t="s">
        <v>116</v>
      </c>
      <c r="CC2" s="196"/>
      <c r="CD2" s="196"/>
      <c r="CE2" s="195"/>
    </row>
    <row r="3" spans="1:105" ht="18.75" thickBot="1" x14ac:dyDescent="0.3">
      <c r="C3" s="59" t="s">
        <v>121</v>
      </c>
      <c r="D3" s="215">
        <f>'[1]Verification of Boxes'!L2</f>
        <v>91149</v>
      </c>
      <c r="E3" s="200" t="s">
        <v>120</v>
      </c>
      <c r="F3" s="199"/>
      <c r="G3" s="203">
        <f>'[1]Verification of Boxes'!G3</f>
        <v>5</v>
      </c>
      <c r="H3" s="200" t="s">
        <v>119</v>
      </c>
      <c r="I3" s="199"/>
      <c r="J3" s="203">
        <f>'[1]Verification of Boxes'!L33</f>
        <v>853</v>
      </c>
      <c r="L3" s="59" t="s">
        <v>118</v>
      </c>
      <c r="M3" s="203">
        <f>'[1]Verification of Boxes'!G4</f>
        <v>9351</v>
      </c>
      <c r="O3" s="214"/>
      <c r="P3" s="214"/>
      <c r="Q3" s="214"/>
      <c r="R3" s="214"/>
      <c r="S3" s="214"/>
      <c r="Z3" s="194" t="s">
        <v>117</v>
      </c>
      <c r="AA3" s="194"/>
      <c r="AB3" s="194"/>
      <c r="AC3" s="194"/>
      <c r="AD3" s="194"/>
      <c r="AE3" s="194"/>
      <c r="AF3" s="193"/>
      <c r="AG3" s="213">
        <f>LARGE(AF14:AF33,1)</f>
        <v>220.97999999999956</v>
      </c>
      <c r="AJ3" s="212"/>
      <c r="AK3" s="212"/>
      <c r="AL3" s="211" t="str">
        <f>IF(AQ5="n","MOVE TO EXCLUDE CANDIDATE FORM",IF(AQ5="y","MOVE TO TRANSFER OF SURPLUS VOTES FORM",0))</f>
        <v>MOVE TO EXCLUDE CANDIDATE FORM</v>
      </c>
      <c r="AM3" s="210"/>
      <c r="AN3" s="210"/>
      <c r="AO3" s="210"/>
      <c r="AP3" s="210"/>
      <c r="AQ3" s="209"/>
      <c r="AZ3" s="154" t="str">
        <f>'[1]Verification of Boxes'!A3</f>
        <v xml:space="preserve">Constituency of </v>
      </c>
      <c r="BI3" s="197" t="s">
        <v>116</v>
      </c>
      <c r="BJ3" s="196"/>
      <c r="BK3" s="195"/>
      <c r="BR3" s="208" t="s">
        <v>115</v>
      </c>
      <c r="BS3" s="207"/>
      <c r="BT3" s="206"/>
      <c r="BU3" s="205"/>
      <c r="BV3" s="205"/>
      <c r="BW3" s="205"/>
      <c r="BX3" s="205"/>
      <c r="BY3" s="205"/>
      <c r="BZ3" s="204"/>
    </row>
    <row r="4" spans="1:105" ht="30.75" customHeight="1" thickBot="1" x14ac:dyDescent="0.3">
      <c r="A4" s="154"/>
      <c r="C4" s="59" t="s">
        <v>114</v>
      </c>
      <c r="D4" s="203">
        <f>'[1]Verification of Boxes'!L3</f>
        <v>56954</v>
      </c>
      <c r="E4" s="202" t="s">
        <v>113</v>
      </c>
      <c r="F4" s="199"/>
      <c r="G4" s="201">
        <f>D4-J3</f>
        <v>56101</v>
      </c>
      <c r="H4" s="200" t="s">
        <v>112</v>
      </c>
      <c r="I4" s="199"/>
      <c r="J4" s="198">
        <f>'[1]Verification of Boxes'!L5</f>
        <v>62.484503395539171</v>
      </c>
      <c r="O4" s="197" t="s">
        <v>111</v>
      </c>
      <c r="P4" s="196"/>
      <c r="Q4" s="196"/>
      <c r="R4" s="196"/>
      <c r="S4" s="195"/>
      <c r="U4" s="42" t="str">
        <f>IF(U33="ERROR","DO NOT MOVE TO NEXT STAGE","OK TO MOVE TO NEXT STAGE")</f>
        <v>DO NOT MOVE TO NEXT STAGE</v>
      </c>
      <c r="V4" s="42"/>
      <c r="W4" s="42"/>
      <c r="Z4" s="194" t="s">
        <v>65</v>
      </c>
      <c r="AA4" s="194"/>
      <c r="AB4" s="194"/>
      <c r="AC4" s="194"/>
      <c r="AD4" s="194"/>
      <c r="AE4" s="194"/>
      <c r="AF4" s="193"/>
      <c r="AG4" s="192">
        <f>'[1]Verification of Boxes'!G4</f>
        <v>9351</v>
      </c>
      <c r="AZ4" s="191" t="str">
        <f>'[1]Verification of Boxes'!B3</f>
        <v>Upper Bann</v>
      </c>
      <c r="BE4" s="190" t="s">
        <v>110</v>
      </c>
      <c r="BF4" s="189" t="s">
        <v>109</v>
      </c>
      <c r="BG4" s="188" t="s">
        <v>108</v>
      </c>
      <c r="BH4" s="187" t="s">
        <v>107</v>
      </c>
      <c r="BI4" s="21" t="s">
        <v>106</v>
      </c>
      <c r="BJ4" s="21" t="s">
        <v>105</v>
      </c>
      <c r="BR4" t="s">
        <v>104</v>
      </c>
    </row>
    <row r="5" spans="1:105" ht="21.75" customHeight="1" thickBot="1" x14ac:dyDescent="0.3">
      <c r="A5" s="154"/>
      <c r="O5" s="186"/>
      <c r="P5" s="186"/>
      <c r="Q5" s="186"/>
      <c r="R5" s="27"/>
      <c r="T5" s="185"/>
      <c r="AJ5" s="184" t="s">
        <v>103</v>
      </c>
      <c r="AK5" s="183"/>
      <c r="AL5" s="184" t="s">
        <v>102</v>
      </c>
      <c r="AM5" s="184"/>
      <c r="AN5" s="184"/>
      <c r="AO5" s="183"/>
      <c r="AP5" s="182"/>
      <c r="AQ5" s="181" t="s">
        <v>101</v>
      </c>
      <c r="AT5" s="83" t="str">
        <f>IF(AQ5=0,0,IF(AQ5="Y","T","E"))</f>
        <v>E</v>
      </c>
      <c r="BE5" s="87" t="str">
        <f>'[1]Verification of Boxes'!J10</f>
        <v>BARR, Glenn</v>
      </c>
      <c r="BF5" s="86"/>
      <c r="BG5" s="45">
        <f>IF(BC$23&gt;0,BF5*BC$23,BF5*BC$29)</f>
        <v>0</v>
      </c>
      <c r="BH5" s="94"/>
      <c r="BI5" s="9" t="str">
        <f>IF(A11&lt;&gt;0,A11,0)</f>
        <v>Excluded</v>
      </c>
      <c r="BJ5" s="9" t="str">
        <f>IF(C11=0,0,IF(S11=0,"Excluded",0))</f>
        <v>Excluded</v>
      </c>
      <c r="BP5" s="113" t="s">
        <v>100</v>
      </c>
      <c r="BR5" s="9"/>
      <c r="BS5" s="179" t="s">
        <v>99</v>
      </c>
      <c r="BT5" s="180"/>
      <c r="BU5" s="179" t="s">
        <v>98</v>
      </c>
      <c r="BV5" s="180"/>
      <c r="BW5" s="179" t="s">
        <v>77</v>
      </c>
      <c r="BX5" s="178"/>
      <c r="BY5" s="179" t="s">
        <v>77</v>
      </c>
      <c r="BZ5" s="178"/>
      <c r="CA5" s="179" t="s">
        <v>77</v>
      </c>
      <c r="CB5" s="178"/>
      <c r="CC5" s="179" t="s">
        <v>77</v>
      </c>
      <c r="CD5" s="178"/>
      <c r="CE5" s="177" t="s">
        <v>97</v>
      </c>
    </row>
    <row r="6" spans="1:105" ht="15" customHeight="1" thickBot="1" x14ac:dyDescent="0.3">
      <c r="A6" s="154"/>
      <c r="E6" s="176" t="s">
        <v>96</v>
      </c>
      <c r="F6" s="150" t="s">
        <v>95</v>
      </c>
      <c r="G6" s="149"/>
      <c r="H6" s="150" t="s">
        <v>94</v>
      </c>
      <c r="I6" s="149"/>
      <c r="J6" s="150" t="s">
        <v>93</v>
      </c>
      <c r="K6" s="149"/>
      <c r="L6" s="150" t="s">
        <v>92</v>
      </c>
      <c r="M6" s="149"/>
      <c r="N6" s="150" t="s">
        <v>91</v>
      </c>
      <c r="O6" s="149"/>
      <c r="P6" s="150" t="s">
        <v>90</v>
      </c>
      <c r="Q6" s="149"/>
      <c r="R6" s="150" t="s">
        <v>89</v>
      </c>
      <c r="S6" s="149"/>
      <c r="T6" s="150" t="s">
        <v>84</v>
      </c>
      <c r="U6" s="149"/>
      <c r="V6" s="150" t="s">
        <v>88</v>
      </c>
      <c r="W6" s="149"/>
      <c r="Z6" s="57" t="s">
        <v>87</v>
      </c>
      <c r="AA6" s="56"/>
      <c r="AB6" s="56"/>
      <c r="AC6" s="56"/>
      <c r="AD6" s="56"/>
      <c r="AE6" s="56"/>
      <c r="AF6" s="55"/>
      <c r="AJ6" t="s">
        <v>86</v>
      </c>
      <c r="AK6" s="142" t="s">
        <v>85</v>
      </c>
      <c r="AL6" s="142"/>
      <c r="AM6" s="142"/>
      <c r="AN6" s="142"/>
      <c r="AO6" s="142"/>
      <c r="AP6" s="142"/>
      <c r="AQ6" s="165" t="str">
        <f>IF(AG2&gt;AM21,"Transfer","Exclude")</f>
        <v>Exclude</v>
      </c>
      <c r="AR6" s="165"/>
      <c r="AS6" s="164"/>
      <c r="AT6" s="21"/>
      <c r="AU6" s="21"/>
      <c r="AW6" s="26"/>
      <c r="AX6" s="26"/>
      <c r="AZ6" s="23" t="s">
        <v>84</v>
      </c>
      <c r="BA6" s="175"/>
      <c r="BE6" s="87" t="str">
        <f>'[1]Verification of Boxes'!J11</f>
        <v>BEATTIE, Doug</v>
      </c>
      <c r="BF6" s="86"/>
      <c r="BG6" s="45">
        <f>IF(BC$23&gt;0,BF6*BC$23,BF6*BC$29)</f>
        <v>0</v>
      </c>
      <c r="BH6" s="94"/>
      <c r="BI6" s="9" t="str">
        <f>IF(A12&lt;&gt;0,A12,0)</f>
        <v>Elected</v>
      </c>
      <c r="BJ6" s="9">
        <f>IF(C12=0,0,IF(S12=0,"Excluded",0))</f>
        <v>0</v>
      </c>
      <c r="BP6" s="113"/>
      <c r="BR6" s="9"/>
      <c r="BS6" s="83" t="s">
        <v>83</v>
      </c>
      <c r="BT6" s="174">
        <v>1</v>
      </c>
      <c r="BU6" s="83" t="s">
        <v>83</v>
      </c>
      <c r="BV6" s="174">
        <v>1</v>
      </c>
      <c r="BW6" s="173" t="s">
        <v>83</v>
      </c>
      <c r="BX6" s="171"/>
      <c r="BY6" s="172" t="s">
        <v>83</v>
      </c>
      <c r="BZ6" s="171"/>
      <c r="CA6" s="172" t="s">
        <v>83</v>
      </c>
      <c r="CB6" s="171"/>
      <c r="CC6" s="172" t="s">
        <v>83</v>
      </c>
      <c r="CD6" s="171"/>
      <c r="CE6" s="170">
        <f>BS29+BU29+BW29+BY29+CA29+CC29</f>
        <v>0</v>
      </c>
    </row>
    <row r="7" spans="1:105" ht="15" customHeight="1" thickBot="1" x14ac:dyDescent="0.25">
      <c r="D7" s="27"/>
      <c r="E7" s="161"/>
      <c r="F7" s="169" t="str">
        <f>'[1]Stage 2'!F7:G7</f>
        <v>Exclude</v>
      </c>
      <c r="G7" s="168"/>
      <c r="H7" s="169" t="str">
        <f>'[1]Stage 3'!H7:I7</f>
        <v>Exclude</v>
      </c>
      <c r="I7" s="168"/>
      <c r="J7" s="169" t="str">
        <f>'[1]Stage 4'!J7:K7</f>
        <v>Exclude</v>
      </c>
      <c r="K7" s="168"/>
      <c r="L7" s="169" t="str">
        <f>'[1]Stage 5'!L7:M7</f>
        <v>Exclude</v>
      </c>
      <c r="M7" s="168"/>
      <c r="N7" s="169" t="str">
        <f>'[1]Stage 6'!N7:O7</f>
        <v>Transfer</v>
      </c>
      <c r="O7" s="168"/>
      <c r="P7" s="169" t="str">
        <f>'[1]Stage 7'!P7:Q7</f>
        <v>Transfer</v>
      </c>
      <c r="Q7" s="168"/>
      <c r="R7" s="169" t="str">
        <f>'[1]Stage 8'!R7:S7</f>
        <v>Transfer</v>
      </c>
      <c r="S7" s="168"/>
      <c r="T7" s="169" t="str">
        <f>IF($AT5=0,0,IF($AT5="T",$AZ7,$BR4))</f>
        <v>Exclude</v>
      </c>
      <c r="U7" s="168"/>
      <c r="V7" s="167"/>
      <c r="W7" s="166"/>
      <c r="Z7" s="41"/>
      <c r="AA7" s="40"/>
      <c r="AB7" s="40"/>
      <c r="AC7" s="40"/>
      <c r="AD7" s="40"/>
      <c r="AE7" s="40"/>
      <c r="AF7" s="39"/>
      <c r="AK7" s="142"/>
      <c r="AL7" s="142"/>
      <c r="AM7" s="142"/>
      <c r="AN7" s="142"/>
      <c r="AO7" s="142"/>
      <c r="AP7" s="142"/>
      <c r="AQ7" s="165"/>
      <c r="AR7" s="165"/>
      <c r="AS7" s="164"/>
      <c r="AZ7" t="s">
        <v>82</v>
      </c>
      <c r="BA7" s="163"/>
      <c r="BE7" s="87" t="str">
        <f>'[1]Verification of Boxes'!J12</f>
        <v>BEATTIE, Glenn</v>
      </c>
      <c r="BF7" s="86"/>
      <c r="BG7" s="45">
        <f>IF(BC$23&gt;0,BF7*BC$23,BF7*BC$29)</f>
        <v>0</v>
      </c>
      <c r="BH7" s="94"/>
      <c r="BI7" s="9" t="str">
        <f>IF(A13&lt;&gt;0,A13,0)</f>
        <v>Excluded</v>
      </c>
      <c r="BJ7" s="9" t="str">
        <f>IF(C13=0,0,IF(S13=0,"Excluded",0))</f>
        <v>Excluded</v>
      </c>
      <c r="BN7" t="s">
        <v>81</v>
      </c>
      <c r="BO7" s="59" t="s">
        <v>80</v>
      </c>
      <c r="BP7" s="162"/>
      <c r="BR7" s="9" t="s">
        <v>79</v>
      </c>
      <c r="BS7" s="9" t="s">
        <v>78</v>
      </c>
      <c r="BT7" s="9" t="s">
        <v>77</v>
      </c>
      <c r="BU7" s="9" t="s">
        <v>78</v>
      </c>
      <c r="BV7" s="9" t="s">
        <v>77</v>
      </c>
      <c r="BW7" s="9" t="s">
        <v>78</v>
      </c>
      <c r="BX7" s="74" t="s">
        <v>77</v>
      </c>
      <c r="BY7" s="9" t="s">
        <v>78</v>
      </c>
      <c r="BZ7" s="74" t="s">
        <v>77</v>
      </c>
      <c r="CA7" s="9" t="s">
        <v>78</v>
      </c>
      <c r="CB7" s="74" t="s">
        <v>77</v>
      </c>
      <c r="CC7" s="9" t="s">
        <v>78</v>
      </c>
      <c r="CD7" s="74" t="s">
        <v>77</v>
      </c>
      <c r="CE7" s="22" t="s">
        <v>76</v>
      </c>
    </row>
    <row r="8" spans="1:105" ht="15" customHeight="1" thickBot="1" x14ac:dyDescent="0.3">
      <c r="D8" s="27"/>
      <c r="E8" s="161"/>
      <c r="F8" s="160" t="str">
        <f>'[1]Stage 2'!F8:G8</f>
        <v>Beattie, Kendall,Gribbon</v>
      </c>
      <c r="G8" s="159"/>
      <c r="H8" s="158" t="str">
        <f>'[1]Stage 3'!H8:I8</f>
        <v>BARR</v>
      </c>
      <c r="I8" s="157"/>
      <c r="J8" s="158" t="str">
        <f>'[1]Stage 4'!J8:K8</f>
        <v>KELLY</v>
      </c>
      <c r="K8" s="157"/>
      <c r="L8" s="158" t="str">
        <f>'[1]Stage 5'!L8:M8</f>
        <v>FOSTER</v>
      </c>
      <c r="M8" s="157"/>
      <c r="N8" s="158" t="str">
        <f>'[1]Stage 6'!N8:O8</f>
        <v>BUCKLEY, Jonathan Glen</v>
      </c>
      <c r="O8" s="157"/>
      <c r="P8" s="158" t="str">
        <f>'[1]Stage 7'!P8:Q8</f>
        <v>DODDS, Diane</v>
      </c>
      <c r="Q8" s="157"/>
      <c r="R8" s="158" t="str">
        <f>'[1]Stage 8'!R8:S8</f>
        <v>O'DOWD, John</v>
      </c>
      <c r="S8" s="157"/>
      <c r="T8" s="158">
        <f>IF($T7="Transfer",$BA8,$BT3)</f>
        <v>0</v>
      </c>
      <c r="U8" s="157"/>
      <c r="V8" s="156"/>
      <c r="W8" s="155"/>
      <c r="AA8" s="59"/>
      <c r="AI8" s="154"/>
      <c r="AJ8" s="154"/>
      <c r="AZ8" s="153" t="s">
        <v>75</v>
      </c>
      <c r="BA8" s="152">
        <f>IF(BE49&lt;&gt;0,BE49,IF(BE50&lt;&gt;0,BE50,IF(BE51&lt;&gt;0,BE51,IF(BE52&lt;&gt;0,BE52,0))))</f>
        <v>0</v>
      </c>
      <c r="BE8" s="87" t="str">
        <f>'[1]Verification of Boxes'!J13</f>
        <v>BUCKLEY, Jonathan Glen</v>
      </c>
      <c r="BF8" s="86"/>
      <c r="BG8" s="45">
        <f>IF(BC$23&gt;0,BF8*BC$23,BF8*BC$29)</f>
        <v>0</v>
      </c>
      <c r="BH8" s="94"/>
      <c r="BI8" s="9" t="str">
        <f>IF(A14&lt;&gt;0,A14,0)</f>
        <v>Elected</v>
      </c>
      <c r="BJ8" s="9">
        <f>IF(C14=0,0,IF(S14=0,"Excluded",0))</f>
        <v>0</v>
      </c>
      <c r="BM8" s="59"/>
      <c r="BN8" s="9" t="str">
        <f>IF(A11&lt;&gt;0,A11,0)</f>
        <v>Excluded</v>
      </c>
      <c r="BO8" s="83">
        <f>IF(AA14&gt;=$M$3,"Elected",AA14)</f>
        <v>0</v>
      </c>
      <c r="BP8" s="82"/>
      <c r="BR8" s="81" t="str">
        <f>'[1]Verification of Boxes'!J10</f>
        <v>BARR, Glenn</v>
      </c>
      <c r="BS8" s="86"/>
      <c r="BT8" s="9">
        <f>BS8*BT$6</f>
        <v>0</v>
      </c>
      <c r="BU8" s="86"/>
      <c r="BV8" s="9">
        <f>BU8*BV$6</f>
        <v>0</v>
      </c>
      <c r="BW8" s="86"/>
      <c r="BX8" s="9">
        <f>BW8*BX$6</f>
        <v>0</v>
      </c>
      <c r="BY8" s="86"/>
      <c r="BZ8" s="9">
        <f>BY8*BZ$6</f>
        <v>0</v>
      </c>
      <c r="CA8" s="86"/>
      <c r="CB8" s="9">
        <f>CA8*CB$6</f>
        <v>0</v>
      </c>
      <c r="CC8" s="86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27"/>
      <c r="E9" s="151"/>
      <c r="F9" s="150" t="s">
        <v>74</v>
      </c>
      <c r="G9" s="149"/>
      <c r="H9" s="150" t="s">
        <v>74</v>
      </c>
      <c r="I9" s="149"/>
      <c r="J9" s="150" t="s">
        <v>74</v>
      </c>
      <c r="K9" s="149"/>
      <c r="L9" s="150" t="s">
        <v>74</v>
      </c>
      <c r="M9" s="149"/>
      <c r="N9" s="150" t="s">
        <v>74</v>
      </c>
      <c r="O9" s="149"/>
      <c r="P9" s="150" t="s">
        <v>74</v>
      </c>
      <c r="Q9" s="149"/>
      <c r="R9" s="150" t="s">
        <v>74</v>
      </c>
      <c r="S9" s="149"/>
      <c r="T9" s="150" t="s">
        <v>74</v>
      </c>
      <c r="U9" s="149"/>
      <c r="V9" s="147" t="s">
        <v>74</v>
      </c>
      <c r="W9" s="146"/>
      <c r="AA9" s="135"/>
      <c r="AB9" s="135"/>
      <c r="AC9" s="135"/>
      <c r="AJ9" t="s">
        <v>73</v>
      </c>
      <c r="AK9" s="142" t="s">
        <v>72</v>
      </c>
      <c r="AL9" s="142"/>
      <c r="AM9" s="142"/>
      <c r="AN9" s="142"/>
      <c r="AO9" s="142"/>
      <c r="AP9" s="142"/>
      <c r="AQ9" s="141" t="str">
        <f>IF(AT89&lt;&gt;0,"Exclude lowest candidate(s)","Transfer")</f>
        <v>Exclude lowest candidate(s)</v>
      </c>
      <c r="AR9" s="141"/>
      <c r="AS9" s="140"/>
      <c r="AT9" s="21"/>
      <c r="AU9" s="21"/>
      <c r="AW9" s="26"/>
      <c r="AX9" s="26"/>
      <c r="BE9" s="87" t="str">
        <f>'[1]Verification of Boxes'!J14</f>
        <v>DODDS, Diane</v>
      </c>
      <c r="BF9" s="86"/>
      <c r="BG9" s="45">
        <f>IF(BC$23&gt;0,BF9*BC$23,BF9*BC$29)</f>
        <v>0</v>
      </c>
      <c r="BH9" s="94"/>
      <c r="BI9" s="9" t="str">
        <f>IF(A15&lt;&gt;0,A15,0)</f>
        <v>Elected</v>
      </c>
      <c r="BJ9" s="9">
        <f>IF(C15=0,0,IF(S15=0,"Excluded",0))</f>
        <v>0</v>
      </c>
      <c r="BM9" s="59"/>
      <c r="BN9" s="9" t="str">
        <f>IF(A12&lt;&gt;0,A12,0)</f>
        <v>Elected</v>
      </c>
      <c r="BO9" s="83" t="str">
        <f>IF(AA15&gt;=$M$3,"Elected",AA15)</f>
        <v>Elected</v>
      </c>
      <c r="BP9" s="82"/>
      <c r="BR9" s="81" t="str">
        <f>'[1]Verification of Boxes'!J11</f>
        <v>BEATTIE, Doug</v>
      </c>
      <c r="BS9" s="86"/>
      <c r="BT9" s="9">
        <f>BS9*BT$6</f>
        <v>0</v>
      </c>
      <c r="BU9" s="86"/>
      <c r="BV9" s="9">
        <f>BU9*BV$6</f>
        <v>0</v>
      </c>
      <c r="BW9" s="86"/>
      <c r="BX9" s="9">
        <f>BW9*BX$6</f>
        <v>0</v>
      </c>
      <c r="BY9" s="86"/>
      <c r="BZ9" s="9">
        <f>BY9*BZ$6</f>
        <v>0</v>
      </c>
      <c r="CA9" s="86"/>
      <c r="CB9" s="9">
        <f>CA9*CB$6</f>
        <v>0</v>
      </c>
      <c r="CC9" s="86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134" t="s">
        <v>71</v>
      </c>
      <c r="B10" s="132" t="s">
        <v>70</v>
      </c>
      <c r="C10" s="129" t="s">
        <v>6</v>
      </c>
      <c r="D10" s="148" t="s">
        <v>69</v>
      </c>
      <c r="E10" s="136" t="s">
        <v>4</v>
      </c>
      <c r="F10" s="147"/>
      <c r="G10" s="146" t="s">
        <v>68</v>
      </c>
      <c r="H10" s="144"/>
      <c r="I10" s="143" t="s">
        <v>68</v>
      </c>
      <c r="J10" s="145"/>
      <c r="K10" s="143" t="s">
        <v>68</v>
      </c>
      <c r="L10" s="144"/>
      <c r="M10" s="143" t="s">
        <v>68</v>
      </c>
      <c r="N10" s="144"/>
      <c r="O10" s="143" t="s">
        <v>68</v>
      </c>
      <c r="P10" s="144"/>
      <c r="Q10" s="143" t="s">
        <v>68</v>
      </c>
      <c r="R10" s="144"/>
      <c r="S10" s="143" t="s">
        <v>68</v>
      </c>
      <c r="T10" s="144"/>
      <c r="U10" s="143" t="s">
        <v>68</v>
      </c>
      <c r="V10" s="144"/>
      <c r="W10" s="143" t="s">
        <v>68</v>
      </c>
      <c r="AK10" s="142"/>
      <c r="AL10" s="142"/>
      <c r="AM10" s="142"/>
      <c r="AN10" s="142"/>
      <c r="AO10" s="142"/>
      <c r="AP10" s="142"/>
      <c r="AQ10" s="141"/>
      <c r="AR10" s="141"/>
      <c r="AS10" s="140"/>
      <c r="AZ10" t="s">
        <v>67</v>
      </c>
      <c r="BA10" s="59" t="s">
        <v>66</v>
      </c>
      <c r="BB10" s="59"/>
      <c r="BC10" s="116"/>
      <c r="BE10" s="87" t="str">
        <f>'[1]Verification of Boxes'!J15</f>
        <v>FOSTER, Darrin</v>
      </c>
      <c r="BF10" s="86"/>
      <c r="BG10" s="45">
        <f>IF(BC$23&gt;0,BF10*BC$23,BF10*BC$29)</f>
        <v>0</v>
      </c>
      <c r="BH10" s="94"/>
      <c r="BI10" s="9" t="str">
        <f>IF(A16&lt;&gt;0,A16,0)</f>
        <v>Excluded</v>
      </c>
      <c r="BJ10" s="9" t="str">
        <f>IF(C16=0,0,IF(S16=0,"Excluded",0))</f>
        <v>Excluded</v>
      </c>
      <c r="BM10" s="59"/>
      <c r="BN10" s="9" t="str">
        <f>IF(A13&lt;&gt;0,A13,0)</f>
        <v>Excluded</v>
      </c>
      <c r="BO10" s="83">
        <f>IF(AA16&gt;=$M$3,"Elected",AA16)</f>
        <v>0</v>
      </c>
      <c r="BP10" s="82"/>
      <c r="BR10" s="81" t="str">
        <f>'[1]Verification of Boxes'!J12</f>
        <v>BEATTIE, Glenn</v>
      </c>
      <c r="BS10" s="86"/>
      <c r="BT10" s="9">
        <f>BS10*BT$6</f>
        <v>0</v>
      </c>
      <c r="BU10" s="86"/>
      <c r="BV10" s="9">
        <f>BU10*BV$6</f>
        <v>0</v>
      </c>
      <c r="BW10" s="86"/>
      <c r="BX10" s="9">
        <f>BW10*BX$6</f>
        <v>0</v>
      </c>
      <c r="BY10" s="86"/>
      <c r="BZ10" s="9">
        <f>BY10*BZ$6</f>
        <v>0</v>
      </c>
      <c r="CA10" s="86"/>
      <c r="CB10" s="9">
        <f>CA10*CB$6</f>
        <v>0</v>
      </c>
      <c r="CC10" s="86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138" t="str">
        <f>IF('[1]Stage 8'!A11&lt;&gt;0,'[1]Stage 8'!A11,IF(U11&gt;=$M$3,"Elected",IF(BP8&lt;&gt;0,"Excluded",0)))</f>
        <v>Excluded</v>
      </c>
      <c r="B11" s="73">
        <f>'[1]Stage 8'!B11</f>
        <v>0</v>
      </c>
      <c r="C11" s="139" t="str">
        <f>'[1]Verification of Boxes'!J10</f>
        <v>BARR, Glenn</v>
      </c>
      <c r="D11" s="138" t="str">
        <f>'[1]Verification of Boxes'!K10</f>
        <v>Ulster Unionist Party</v>
      </c>
      <c r="E11" s="137">
        <f>'[1]Verification of Boxes'!L10</f>
        <v>3367</v>
      </c>
      <c r="F11" s="63">
        <f>'[1]Stage 2'!F11</f>
        <v>33</v>
      </c>
      <c r="G11" s="52">
        <f>'[1]Stage 2'!G11</f>
        <v>3400</v>
      </c>
      <c r="H11" s="63">
        <f>'[1]Stage 3'!H11</f>
        <v>-3400</v>
      </c>
      <c r="I11" s="52">
        <f>'[1]Stage 3'!I11</f>
        <v>0</v>
      </c>
      <c r="J11" s="63">
        <f>'[1]Stage 4'!J11</f>
        <v>0</v>
      </c>
      <c r="K11" s="52">
        <f>'[1]Stage 4'!K11</f>
        <v>0</v>
      </c>
      <c r="L11" s="63">
        <f>'[1]Stage 5'!L11</f>
        <v>0</v>
      </c>
      <c r="M11" s="52">
        <f>'[1]Stage 5'!M11</f>
        <v>0</v>
      </c>
      <c r="N11" s="63">
        <f>'[1]Stage 6'!N11</f>
        <v>0</v>
      </c>
      <c r="O11" s="52">
        <f>'[1]Stage 6'!O11</f>
        <v>0</v>
      </c>
      <c r="P11" s="63">
        <f>'[1]Stage 7'!P11</f>
        <v>0</v>
      </c>
      <c r="Q11" s="52">
        <f>'[1]Stage 7'!Q11</f>
        <v>0</v>
      </c>
      <c r="R11" s="63">
        <f>'[1]Stage 8'!R11</f>
        <v>0</v>
      </c>
      <c r="S11" s="52">
        <f>'[1]Stage 8'!S11</f>
        <v>0</v>
      </c>
      <c r="T11" s="63">
        <f>IF($C11&lt;&gt;0,$BK49,0)</f>
        <v>0</v>
      </c>
      <c r="U11" s="69">
        <f>IF(T$8=0,0,S11+T11)</f>
        <v>0</v>
      </c>
      <c r="V11" s="68"/>
      <c r="W11" s="67">
        <f>IF(V$8=0,0,U11+V11)</f>
        <v>0</v>
      </c>
      <c r="AA11" s="59"/>
      <c r="AZ11" t="s">
        <v>65</v>
      </c>
      <c r="BA11" s="59" t="s">
        <v>64</v>
      </c>
      <c r="BB11" s="59"/>
      <c r="BC11" s="136">
        <f>'[1]Verification of Boxes'!G4</f>
        <v>9351</v>
      </c>
      <c r="BE11" s="87" t="str">
        <f>'[1]Verification of Boxes'!J16</f>
        <v>GRIBBIN, Aidan</v>
      </c>
      <c r="BF11" s="86"/>
      <c r="BG11" s="45">
        <f>IF(BC$23&gt;0,BF11*BC$23,BF11*BC$29)</f>
        <v>0</v>
      </c>
      <c r="BH11" s="94"/>
      <c r="BI11" s="9" t="str">
        <f>IF(A17&lt;&gt;0,A17,0)</f>
        <v>Excluded</v>
      </c>
      <c r="BJ11" s="9" t="str">
        <f>IF(C17=0,0,IF(S17=0,"Excluded",0))</f>
        <v>Excluded</v>
      </c>
      <c r="BM11" s="59"/>
      <c r="BN11" s="9" t="str">
        <f>IF(A14&lt;&gt;0,A14,0)</f>
        <v>Elected</v>
      </c>
      <c r="BO11" s="83" t="str">
        <f>IF(AA17&gt;=$M$3,"Elected",AA17)</f>
        <v>Elected</v>
      </c>
      <c r="BP11" s="82"/>
      <c r="BR11" s="81" t="str">
        <f>'[1]Verification of Boxes'!J13</f>
        <v>BUCKLEY, Jonathan Glen</v>
      </c>
      <c r="BS11" s="86"/>
      <c r="BT11" s="9">
        <f>BS11*BT$6</f>
        <v>0</v>
      </c>
      <c r="BU11" s="86"/>
      <c r="BV11" s="9">
        <f>BU11*BV$6</f>
        <v>0</v>
      </c>
      <c r="BW11" s="86"/>
      <c r="BX11" s="9">
        <f>BW11*BX$6</f>
        <v>0</v>
      </c>
      <c r="BY11" s="86"/>
      <c r="BZ11" s="9">
        <f>BY11*BZ$6</f>
        <v>0</v>
      </c>
      <c r="CA11" s="86"/>
      <c r="CB11" s="9">
        <f>CA11*CB$6</f>
        <v>0</v>
      </c>
      <c r="CC11" s="86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76" t="str">
        <f>IF('[1]Stage 8'!A12&lt;&gt;0,'[1]Stage 8'!A12,IF(U12&gt;=$M$3,"Elected",IF(BP9&lt;&gt;0,"Excluded",0)))</f>
        <v>Elected</v>
      </c>
      <c r="B12" s="73">
        <f>'[1]Stage 8'!B12</f>
        <v>0</v>
      </c>
      <c r="C12" s="77" t="str">
        <f>'[1]Verification of Boxes'!J11</f>
        <v>BEATTIE, Doug</v>
      </c>
      <c r="D12" s="76" t="str">
        <f>'[1]Verification of Boxes'!K11</f>
        <v>Ulster Unionist Party</v>
      </c>
      <c r="E12" s="70">
        <f>'[1]Verification of Boxes'!L11</f>
        <v>5199</v>
      </c>
      <c r="F12" s="63">
        <f>'[1]Stage 2'!F12</f>
        <v>37</v>
      </c>
      <c r="G12" s="52">
        <f>'[1]Stage 2'!G12</f>
        <v>5236</v>
      </c>
      <c r="H12" s="63">
        <f>'[1]Stage 3'!H12</f>
        <v>2475</v>
      </c>
      <c r="I12" s="52">
        <f>'[1]Stage 3'!I12</f>
        <v>7711</v>
      </c>
      <c r="J12" s="63">
        <f>'[1]Stage 4'!J12</f>
        <v>182</v>
      </c>
      <c r="K12" s="52">
        <f>'[1]Stage 4'!K12</f>
        <v>7893</v>
      </c>
      <c r="L12" s="63">
        <f>'[1]Stage 5'!L12</f>
        <v>679</v>
      </c>
      <c r="M12" s="52">
        <f>'[1]Stage 5'!M12</f>
        <v>8572</v>
      </c>
      <c r="N12" s="63">
        <f>'[1]Stage 6'!N12</f>
        <v>192</v>
      </c>
      <c r="O12" s="52">
        <f>'[1]Stage 6'!O12</f>
        <v>8764</v>
      </c>
      <c r="P12" s="63">
        <f>'[1]Stage 7'!P12</f>
        <v>807.9799999999999</v>
      </c>
      <c r="Q12" s="52">
        <f>'[1]Stage 7'!Q12</f>
        <v>9571.98</v>
      </c>
      <c r="R12" s="63">
        <f>'[1]Stage 8'!R12</f>
        <v>0</v>
      </c>
      <c r="S12" s="52">
        <f>'[1]Stage 8'!S12</f>
        <v>9571.98</v>
      </c>
      <c r="T12" s="63">
        <f>IF($C12&lt;&gt;0,$BK50,0)</f>
        <v>0</v>
      </c>
      <c r="U12" s="69">
        <f>IF(T$8=0,0,S12+T12)</f>
        <v>0</v>
      </c>
      <c r="V12" s="68"/>
      <c r="W12" s="67">
        <f>IF(V$8=0,0,U12+V12)</f>
        <v>0</v>
      </c>
      <c r="AJ12" s="135"/>
      <c r="AZ12" t="s">
        <v>63</v>
      </c>
      <c r="BA12" s="59" t="s">
        <v>62</v>
      </c>
      <c r="BB12" s="59"/>
      <c r="BC12" s="48">
        <f>AG3</f>
        <v>220.97999999999956</v>
      </c>
      <c r="BE12" s="87" t="str">
        <f>'[1]Verification of Boxes'!J17</f>
        <v>KELLY, Dolores</v>
      </c>
      <c r="BF12" s="86"/>
      <c r="BG12" s="45">
        <f>IF(BC$23&gt;0,BF12*BC$23,BF12*BC$29)</f>
        <v>0</v>
      </c>
      <c r="BH12" s="94"/>
      <c r="BI12" s="9" t="str">
        <f>IF(A18&lt;&gt;0,A18,0)</f>
        <v>Excluded</v>
      </c>
      <c r="BJ12" s="9" t="str">
        <f>IF(C18=0,0,IF(S18=0,"Excluded",0))</f>
        <v>Excluded</v>
      </c>
      <c r="BM12" s="59"/>
      <c r="BN12" s="9" t="str">
        <f>IF(A15&lt;&gt;0,A15,0)</f>
        <v>Elected</v>
      </c>
      <c r="BO12" s="83" t="str">
        <f>IF(AA18&gt;=$M$3,"Elected",AA18)</f>
        <v>Elected</v>
      </c>
      <c r="BP12" s="82"/>
      <c r="BR12" s="81" t="str">
        <f>'[1]Verification of Boxes'!J14</f>
        <v>DODDS, Diane</v>
      </c>
      <c r="BS12" s="86"/>
      <c r="BT12" s="9">
        <f>BS12*BT$6</f>
        <v>0</v>
      </c>
      <c r="BU12" s="86"/>
      <c r="BV12" s="9">
        <f>BU12*BV$6</f>
        <v>0</v>
      </c>
      <c r="BW12" s="86"/>
      <c r="BX12" s="9">
        <f>BW12*BX$6</f>
        <v>0</v>
      </c>
      <c r="BY12" s="86"/>
      <c r="BZ12" s="9">
        <f>BY12*BZ$6</f>
        <v>0</v>
      </c>
      <c r="CA12" s="86"/>
      <c r="CB12" s="9">
        <f>CA12*CB$6</f>
        <v>0</v>
      </c>
      <c r="CC12" s="86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76" t="str">
        <f>IF('[1]Stage 8'!A13&lt;&gt;0,'[1]Stage 8'!A13,IF(U13&gt;=$M$3,"Elected",IF(BP10&lt;&gt;0,"Excluded",0)))</f>
        <v>Excluded</v>
      </c>
      <c r="B13" s="73">
        <f>'[1]Stage 8'!B13</f>
        <v>0</v>
      </c>
      <c r="C13" s="77" t="str">
        <f>'[1]Verification of Boxes'!J12</f>
        <v>BEATTIE, Glenn</v>
      </c>
      <c r="D13" s="76" t="str">
        <f>'[1]Verification of Boxes'!K12</f>
        <v>Heritage Party - Pro-freedom. Pro-family. Pro-life.</v>
      </c>
      <c r="E13" s="70">
        <f>'[1]Verification of Boxes'!L12</f>
        <v>128</v>
      </c>
      <c r="F13" s="63">
        <f>'[1]Stage 2'!F13</f>
        <v>-128</v>
      </c>
      <c r="G13" s="52">
        <f>'[1]Stage 2'!G13</f>
        <v>0</v>
      </c>
      <c r="H13" s="63">
        <f>'[1]Stage 3'!H13</f>
        <v>0</v>
      </c>
      <c r="I13" s="52">
        <f>'[1]Stage 3'!I13</f>
        <v>0</v>
      </c>
      <c r="J13" s="63">
        <f>'[1]Stage 4'!J13</f>
        <v>0</v>
      </c>
      <c r="K13" s="52">
        <f>'[1]Stage 4'!K13</f>
        <v>0</v>
      </c>
      <c r="L13" s="63">
        <f>'[1]Stage 5'!L13</f>
        <v>0</v>
      </c>
      <c r="M13" s="52">
        <f>'[1]Stage 5'!M13</f>
        <v>0</v>
      </c>
      <c r="N13" s="63">
        <f>'[1]Stage 6'!N13</f>
        <v>0</v>
      </c>
      <c r="O13" s="52">
        <f>'[1]Stage 6'!O13</f>
        <v>0</v>
      </c>
      <c r="P13" s="63">
        <f>'[1]Stage 7'!P13</f>
        <v>0</v>
      </c>
      <c r="Q13" s="52">
        <f>'[1]Stage 7'!Q13</f>
        <v>0</v>
      </c>
      <c r="R13" s="63">
        <f>'[1]Stage 8'!R13</f>
        <v>0</v>
      </c>
      <c r="S13" s="52">
        <f>'[1]Stage 8'!S13</f>
        <v>0</v>
      </c>
      <c r="T13" s="63">
        <f>IF($C13&lt;&gt;0,$BK51,0)</f>
        <v>0</v>
      </c>
      <c r="U13" s="69">
        <f>IF(T$8=0,0,S13+T13)</f>
        <v>0</v>
      </c>
      <c r="V13" s="68"/>
      <c r="W13" s="67">
        <f>IF(V$8=0,0,U13+V13)</f>
        <v>0</v>
      </c>
      <c r="Z13" s="134" t="s">
        <v>6</v>
      </c>
      <c r="AA13" s="133" t="s">
        <v>61</v>
      </c>
      <c r="AB13" s="129"/>
      <c r="AC13" s="129" t="s">
        <v>58</v>
      </c>
      <c r="AD13" s="132"/>
      <c r="AE13" s="129" t="s">
        <v>60</v>
      </c>
      <c r="AF13" s="132" t="s">
        <v>18</v>
      </c>
      <c r="AG13" s="131"/>
      <c r="AI13" s="26"/>
      <c r="AJ13" s="130"/>
      <c r="AK13" s="129"/>
      <c r="AL13" s="127" t="s">
        <v>59</v>
      </c>
      <c r="AM13" s="127" t="s">
        <v>58</v>
      </c>
      <c r="AN13" s="127" t="s">
        <v>57</v>
      </c>
      <c r="AO13" s="127" t="s">
        <v>56</v>
      </c>
      <c r="AP13" s="128"/>
      <c r="AQ13" s="127"/>
      <c r="AR13" s="126"/>
      <c r="AZ13" t="s">
        <v>55</v>
      </c>
      <c r="BA13" s="59" t="s">
        <v>54</v>
      </c>
      <c r="BB13" s="59"/>
      <c r="BC13" s="125"/>
      <c r="BE13" s="87" t="str">
        <f>'[1]Verification of Boxes'!J18</f>
        <v>KENDALL, Lauren</v>
      </c>
      <c r="BF13" s="86"/>
      <c r="BG13" s="45">
        <f>IF(BC$23&gt;0,BF13*BC$23,BF13*BC$29)</f>
        <v>0</v>
      </c>
      <c r="BH13" s="94"/>
      <c r="BI13" s="9" t="str">
        <f>IF(A19&lt;&gt;0,A19,0)</f>
        <v>Excluded</v>
      </c>
      <c r="BJ13" s="9" t="str">
        <f>IF(C19=0,0,IF(S19=0,"Excluded",0))</f>
        <v>Excluded</v>
      </c>
      <c r="BM13" s="59"/>
      <c r="BN13" s="9" t="str">
        <f>IF(A16&lt;&gt;0,A16,0)</f>
        <v>Excluded</v>
      </c>
      <c r="BO13" s="83">
        <f>IF(AA19&gt;=$M$3,"Elected",AA19)</f>
        <v>0</v>
      </c>
      <c r="BP13" s="82"/>
      <c r="BR13" s="81" t="str">
        <f>'[1]Verification of Boxes'!J15</f>
        <v>FOSTER, Darrin</v>
      </c>
      <c r="BS13" s="124"/>
      <c r="BT13" s="9">
        <f>BS13*BT$6</f>
        <v>0</v>
      </c>
      <c r="BU13" s="124"/>
      <c r="BV13" s="9">
        <f>BU13*BV$6</f>
        <v>0</v>
      </c>
      <c r="BW13" s="124"/>
      <c r="BX13" s="9">
        <f>BW13*BX$6</f>
        <v>0</v>
      </c>
      <c r="BY13" s="124"/>
      <c r="BZ13" s="9">
        <f>BY13*BZ$6</f>
        <v>0</v>
      </c>
      <c r="CA13" s="124"/>
      <c r="CB13" s="9">
        <f>CA13*CB$6</f>
        <v>0</v>
      </c>
      <c r="CC13" s="124"/>
      <c r="CD13" s="9">
        <f>CC13*CD$6</f>
        <v>0</v>
      </c>
      <c r="CE13" s="123">
        <f>BT13+BV13+BX13+BZ13+CB13+CD13</f>
        <v>0</v>
      </c>
    </row>
    <row r="14" spans="1:105" ht="15" customHeight="1" thickBot="1" x14ac:dyDescent="0.25">
      <c r="A14" s="76" t="str">
        <f>IF('[1]Stage 8'!A14&lt;&gt;0,'[1]Stage 8'!A14,IF(U14&gt;=$M$3,"Elected",IF(BP11&lt;&gt;0,"Excluded",0)))</f>
        <v>Elected</v>
      </c>
      <c r="B14" s="73">
        <f>'[1]Stage 8'!B14</f>
        <v>0</v>
      </c>
      <c r="C14" s="77" t="str">
        <f>'[1]Verification of Boxes'!J13</f>
        <v>BUCKLEY, Jonathan Glen</v>
      </c>
      <c r="D14" s="76" t="str">
        <f>'[1]Verification of Boxes'!K13</f>
        <v>Democratic Unionist Party - D.U.P.</v>
      </c>
      <c r="E14" s="70">
        <f>'[1]Verification of Boxes'!L13</f>
        <v>8869</v>
      </c>
      <c r="F14" s="63">
        <f>'[1]Stage 2'!F14</f>
        <v>90</v>
      </c>
      <c r="G14" s="52">
        <f>'[1]Stage 2'!G14</f>
        <v>8959</v>
      </c>
      <c r="H14" s="63">
        <f>'[1]Stage 3'!H14</f>
        <v>231</v>
      </c>
      <c r="I14" s="52">
        <f>'[1]Stage 3'!I14</f>
        <v>9190</v>
      </c>
      <c r="J14" s="63">
        <f>'[1]Stage 4'!J14</f>
        <v>42</v>
      </c>
      <c r="K14" s="52">
        <f>'[1]Stage 4'!K14</f>
        <v>9232</v>
      </c>
      <c r="L14" s="63">
        <f>'[1]Stage 5'!L14</f>
        <v>2268</v>
      </c>
      <c r="M14" s="52">
        <f>'[1]Stage 5'!M14</f>
        <v>11500</v>
      </c>
      <c r="N14" s="63">
        <f>'[1]Stage 6'!N14</f>
        <v>-2149</v>
      </c>
      <c r="O14" s="52">
        <f>'[1]Stage 6'!O14</f>
        <v>9351</v>
      </c>
      <c r="P14" s="63">
        <f>'[1]Stage 7'!P14</f>
        <v>0</v>
      </c>
      <c r="Q14" s="52">
        <f>'[1]Stage 7'!Q14</f>
        <v>9351</v>
      </c>
      <c r="R14" s="63">
        <f>'[1]Stage 8'!R14</f>
        <v>0</v>
      </c>
      <c r="S14" s="52">
        <f>'[1]Stage 8'!S14</f>
        <v>9351</v>
      </c>
      <c r="T14" s="63">
        <f>IF($C14&lt;&gt;0,$BK52,0)</f>
        <v>0</v>
      </c>
      <c r="U14" s="69">
        <f>IF(T$8=0,0,S14+T14)</f>
        <v>0</v>
      </c>
      <c r="V14" s="68"/>
      <c r="W14" s="67">
        <f>IF(V$8=0,0,U14+V14)</f>
        <v>0</v>
      </c>
      <c r="Z14" s="122" t="str">
        <f>'[1]Verification of Boxes'!J10</f>
        <v>BARR, Glenn</v>
      </c>
      <c r="AA14" s="121">
        <f>S11</f>
        <v>0</v>
      </c>
      <c r="AB14" s="118"/>
      <c r="AC14" s="120">
        <f>IF(AA14&gt;0,AA14-AG$4,0)</f>
        <v>0</v>
      </c>
      <c r="AD14" s="119"/>
      <c r="AE14" s="118" t="str">
        <f>IF(Z14=0,0,IF(AA14&gt;=AG$4,"elected",IF(AA14=0,"excluded","continuing")))</f>
        <v>excluded</v>
      </c>
      <c r="AF14" s="118">
        <f>IF(AE14="elected",AC14,0)</f>
        <v>0</v>
      </c>
      <c r="AG14" s="117">
        <f>IF(AF14=0,0,(IF(AC14&gt;=0,"transfer largest surplus","progress to exclude")))</f>
        <v>0</v>
      </c>
      <c r="AJ14" s="114"/>
      <c r="AL14" s="113"/>
      <c r="AM14" s="113"/>
      <c r="AN14" s="113"/>
      <c r="AO14" s="113"/>
      <c r="AP14" s="115"/>
      <c r="AQ14" s="113"/>
      <c r="AR14" s="112"/>
      <c r="AZ14" t="s">
        <v>53</v>
      </c>
      <c r="BA14" s="59" t="s">
        <v>32</v>
      </c>
      <c r="BB14" s="59"/>
      <c r="BC14" s="116"/>
      <c r="BE14" s="87" t="str">
        <f>'[1]Verification of Boxes'!J19</f>
        <v>MACKLE, Liam</v>
      </c>
      <c r="BF14" s="86"/>
      <c r="BG14" s="45">
        <f>IF(BC$23&gt;0,BF14*BC$23,BF14*BC$29)</f>
        <v>0</v>
      </c>
      <c r="BH14" s="94"/>
      <c r="BI14" s="9" t="str">
        <f>IF(A20&lt;&gt;0,A20,0)</f>
        <v>Excluded</v>
      </c>
      <c r="BJ14" s="9">
        <f>IF(C20=0,0,IF(S20=0,"Excluded",0))</f>
        <v>0</v>
      </c>
      <c r="BM14" s="59"/>
      <c r="BN14" s="9" t="str">
        <f>IF(A17&lt;&gt;0,A17,0)</f>
        <v>Excluded</v>
      </c>
      <c r="BO14" s="83">
        <f>IF(AA20&gt;=$M$3,"Elected",AA20)</f>
        <v>0</v>
      </c>
      <c r="BP14" s="82"/>
      <c r="BR14" s="81" t="str">
        <f>'[1]Verification of Boxes'!J16</f>
        <v>GRIBBIN, Aidan</v>
      </c>
      <c r="BS14" s="86"/>
      <c r="BT14" s="9">
        <f>BS14*BT$6</f>
        <v>0</v>
      </c>
      <c r="BU14" s="86"/>
      <c r="BV14" s="9">
        <f>BU14*BV$6</f>
        <v>0</v>
      </c>
      <c r="BW14" s="86"/>
      <c r="BX14" s="9">
        <f>BW14*BX$6</f>
        <v>0</v>
      </c>
      <c r="BY14" s="86"/>
      <c r="BZ14" s="9">
        <f>BY14*BZ$6</f>
        <v>0</v>
      </c>
      <c r="CA14" s="86"/>
      <c r="CB14" s="9">
        <f>CA14*CB$6</f>
        <v>0</v>
      </c>
      <c r="CC14" s="86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76" t="str">
        <f>IF('[1]Stage 8'!A15&lt;&gt;0,'[1]Stage 8'!A15,IF(U15&gt;=$M$3,"Elected",IF(BP12&lt;&gt;0,"Excluded",0)))</f>
        <v>Elected</v>
      </c>
      <c r="B15" s="73">
        <f>'[1]Stage 8'!B15</f>
        <v>0</v>
      </c>
      <c r="C15" s="77" t="str">
        <f>'[1]Verification of Boxes'!J14</f>
        <v>DODDS, Diane</v>
      </c>
      <c r="D15" s="76" t="str">
        <f>'[1]Verification of Boxes'!K14</f>
        <v>Democratic Unionist Party - D.U.P.</v>
      </c>
      <c r="E15" s="70">
        <f>'[1]Verification of Boxes'!L14</f>
        <v>6548</v>
      </c>
      <c r="F15" s="63">
        <f>'[1]Stage 2'!F15</f>
        <v>45</v>
      </c>
      <c r="G15" s="52">
        <f>'[1]Stage 2'!G15</f>
        <v>6593</v>
      </c>
      <c r="H15" s="63">
        <f>'[1]Stage 3'!H15</f>
        <v>331</v>
      </c>
      <c r="I15" s="52">
        <f>'[1]Stage 3'!I15</f>
        <v>6924</v>
      </c>
      <c r="J15" s="63">
        <f>'[1]Stage 4'!J15</f>
        <v>49</v>
      </c>
      <c r="K15" s="52">
        <f>'[1]Stage 4'!K15</f>
        <v>6973</v>
      </c>
      <c r="L15" s="63">
        <f>'[1]Stage 5'!L15</f>
        <v>1301</v>
      </c>
      <c r="M15" s="52">
        <f>'[1]Stage 5'!M15</f>
        <v>8274</v>
      </c>
      <c r="N15" s="63">
        <f>'[1]Stage 6'!N15</f>
        <v>1908</v>
      </c>
      <c r="O15" s="52">
        <f>'[1]Stage 6'!O15</f>
        <v>10182</v>
      </c>
      <c r="P15" s="63">
        <f>'[1]Stage 7'!P15</f>
        <v>-831</v>
      </c>
      <c r="Q15" s="52">
        <f>'[1]Stage 7'!Q15</f>
        <v>9351</v>
      </c>
      <c r="R15" s="63">
        <f>'[1]Stage 8'!R15</f>
        <v>0</v>
      </c>
      <c r="S15" s="52">
        <f>'[1]Stage 8'!S15</f>
        <v>9351</v>
      </c>
      <c r="T15" s="63">
        <f>IF($C15&lt;&gt;0,$BK53,0)</f>
        <v>0</v>
      </c>
      <c r="U15" s="69">
        <f>IF(T$8=0,0,S15+T15)</f>
        <v>0</v>
      </c>
      <c r="V15" s="68"/>
      <c r="W15" s="67">
        <f>IF(V$8=0,0,U15+V15)</f>
        <v>0</v>
      </c>
      <c r="Z15" s="47" t="str">
        <f>'[1]Verification of Boxes'!J11</f>
        <v>BEATTIE, Doug</v>
      </c>
      <c r="AA15" s="46">
        <f>S12</f>
        <v>9571.98</v>
      </c>
      <c r="AB15" s="9"/>
      <c r="AC15" s="45">
        <f>IF(AA15&gt;0,AA15-AG$4,0)</f>
        <v>220.97999999999956</v>
      </c>
      <c r="AD15" s="44"/>
      <c r="AE15" s="9" t="str">
        <f>IF(Z15=0,0,IF(AA15&gt;=AG$4,"elected",IF(AA15=0,"excluded","continuing")))</f>
        <v>elected</v>
      </c>
      <c r="AF15" s="9">
        <f>IF(AE15="elected",AC15,0)</f>
        <v>220.97999999999956</v>
      </c>
      <c r="AG15" s="43" t="str">
        <f>IF(AF15=0,0,(IF(AC15&gt;=0,"transfer largest surplus","progress to exclude")))</f>
        <v>transfer largest surplus</v>
      </c>
      <c r="AJ15" s="114"/>
      <c r="AL15" s="113"/>
      <c r="AM15" s="113"/>
      <c r="AN15" s="113"/>
      <c r="AO15" s="113"/>
      <c r="AP15" s="115"/>
      <c r="AQ15" s="113"/>
      <c r="AR15" s="112"/>
      <c r="BA15" s="59"/>
      <c r="BB15" s="59"/>
      <c r="BC15" s="15"/>
      <c r="BE15" s="87" t="str">
        <f>'[1]Verification of Boxes'!J20</f>
        <v>O'DOWD, John</v>
      </c>
      <c r="BF15" s="86"/>
      <c r="BG15" s="45">
        <f>IF(BC$23&gt;0,BF15*BC$23,BF15*BC$29)</f>
        <v>0</v>
      </c>
      <c r="BH15" s="94"/>
      <c r="BI15" s="9" t="str">
        <f>IF(A21&lt;&gt;0,A21,0)</f>
        <v>Elected</v>
      </c>
      <c r="BJ15" s="9">
        <f>IF(C21=0,0,IF(S21=0,"Excluded",0))</f>
        <v>0</v>
      </c>
      <c r="BM15" s="59"/>
      <c r="BN15" s="9" t="str">
        <f>IF(A18&lt;&gt;0,A18,0)</f>
        <v>Excluded</v>
      </c>
      <c r="BO15" s="83">
        <f>IF(AA21&gt;=$M$3,"Elected",AA21)</f>
        <v>0</v>
      </c>
      <c r="BP15" s="82"/>
      <c r="BR15" s="81" t="str">
        <f>'[1]Verification of Boxes'!J17</f>
        <v>KELLY, Dolores</v>
      </c>
      <c r="BS15" s="86"/>
      <c r="BT15" s="9">
        <f>BS15*BT$6</f>
        <v>0</v>
      </c>
      <c r="BU15" s="86"/>
      <c r="BV15" s="9">
        <f>BU15*BV$6</f>
        <v>0</v>
      </c>
      <c r="BW15" s="86"/>
      <c r="BX15" s="9">
        <f>BW15*BX$6</f>
        <v>0</v>
      </c>
      <c r="BY15" s="86"/>
      <c r="BZ15" s="9">
        <f>BY15*BZ$6</f>
        <v>0</v>
      </c>
      <c r="CA15" s="86"/>
      <c r="CB15" s="9">
        <f>CA15*CB$6</f>
        <v>0</v>
      </c>
      <c r="CC15" s="86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76" t="str">
        <f>IF('[1]Stage 8'!A16&lt;&gt;0,'[1]Stage 8'!A16,IF(U16&gt;=$M$3,"Elected",IF(BP13&lt;&gt;0,"Excluded",0)))</f>
        <v>Excluded</v>
      </c>
      <c r="B16" s="73">
        <f>'[1]Stage 8'!B16</f>
        <v>0</v>
      </c>
      <c r="C16" s="77" t="str">
        <f>'[1]Verification of Boxes'!J15</f>
        <v>FOSTER, Darrin</v>
      </c>
      <c r="D16" s="76" t="str">
        <f>'[1]Verification of Boxes'!K15</f>
        <v>TUV - No Sea Border</v>
      </c>
      <c r="E16" s="70">
        <f>'[1]Verification of Boxes'!L15</f>
        <v>4373</v>
      </c>
      <c r="F16" s="63">
        <f>'[1]Stage 2'!F16</f>
        <v>72</v>
      </c>
      <c r="G16" s="52">
        <f>'[1]Stage 2'!G16</f>
        <v>4445</v>
      </c>
      <c r="H16" s="63">
        <f>'[1]Stage 3'!H16</f>
        <v>162</v>
      </c>
      <c r="I16" s="52">
        <f>'[1]Stage 3'!I16</f>
        <v>4607</v>
      </c>
      <c r="J16" s="63">
        <f>'[1]Stage 4'!J16</f>
        <v>19</v>
      </c>
      <c r="K16" s="52">
        <f>'[1]Stage 4'!K16</f>
        <v>4626</v>
      </c>
      <c r="L16" s="63">
        <f>'[1]Stage 5'!L16</f>
        <v>-4626</v>
      </c>
      <c r="M16" s="52">
        <f>'[1]Stage 5'!M16</f>
        <v>0</v>
      </c>
      <c r="N16" s="63">
        <f>'[1]Stage 6'!N16</f>
        <v>0</v>
      </c>
      <c r="O16" s="52">
        <f>'[1]Stage 6'!O16</f>
        <v>0</v>
      </c>
      <c r="P16" s="63">
        <f>'[1]Stage 7'!P16</f>
        <v>0</v>
      </c>
      <c r="Q16" s="52">
        <f>'[1]Stage 7'!Q16</f>
        <v>0</v>
      </c>
      <c r="R16" s="63">
        <f>'[1]Stage 8'!R16</f>
        <v>0</v>
      </c>
      <c r="S16" s="52">
        <f>'[1]Stage 8'!S16</f>
        <v>0</v>
      </c>
      <c r="T16" s="63">
        <f>IF($C16&lt;&gt;0,$BK54,0)</f>
        <v>0</v>
      </c>
      <c r="U16" s="69">
        <f>IF(T$8=0,0,S16+T16)</f>
        <v>0</v>
      </c>
      <c r="V16" s="68"/>
      <c r="W16" s="67">
        <f>IF(V$8=0,0,U16+V16)</f>
        <v>0</v>
      </c>
      <c r="Z16" s="47" t="str">
        <f>'[1]Verification of Boxes'!J12</f>
        <v>BEATTIE, Glenn</v>
      </c>
      <c r="AA16" s="46">
        <f>S13</f>
        <v>0</v>
      </c>
      <c r="AB16" s="9"/>
      <c r="AC16" s="45">
        <f>IF(AA16&gt;0,AA16-AG$4,0)</f>
        <v>0</v>
      </c>
      <c r="AD16" s="44"/>
      <c r="AE16" s="9" t="str">
        <f>IF(Z16=0,0,IF(AA16&gt;=AG$4,"elected",IF(AA16=0,"excluded","continuing")))</f>
        <v>excluded</v>
      </c>
      <c r="AF16" s="9">
        <f>IF(AE16="elected",AC16,0)</f>
        <v>0</v>
      </c>
      <c r="AG16" s="43">
        <f>IF(AF16=0,0,(IF(AC16&gt;=0,"transfer largest surplus","progress to exclude")))</f>
        <v>0</v>
      </c>
      <c r="AJ16" s="114"/>
      <c r="AL16" s="113"/>
      <c r="AM16" s="113"/>
      <c r="AN16" s="113"/>
      <c r="AO16" s="113"/>
      <c r="AP16" s="115"/>
      <c r="AQ16" s="113"/>
      <c r="AR16" s="112"/>
      <c r="AZ16" t="s">
        <v>52</v>
      </c>
      <c r="BA16" s="59"/>
      <c r="BB16" s="59"/>
      <c r="BC16" s="15"/>
      <c r="BE16" s="87" t="str">
        <f>'[1]Verification of Boxes'!J21</f>
        <v>TENNYSON, Eóin</v>
      </c>
      <c r="BF16" s="86"/>
      <c r="BG16" s="45">
        <f>IF(BC$23&gt;0,BF16*BC$23,BF16*BC$29)</f>
        <v>0</v>
      </c>
      <c r="BH16" s="94"/>
      <c r="BI16" s="9" t="str">
        <f>IF(A22&lt;&gt;0,A22,0)</f>
        <v>Elected</v>
      </c>
      <c r="BJ16" s="9">
        <f>IF(C22=0,0,IF(S22=0,"Excluded",0))</f>
        <v>0</v>
      </c>
      <c r="BM16" s="59"/>
      <c r="BN16" s="9" t="str">
        <f>IF(A19&lt;&gt;0,A19,0)</f>
        <v>Excluded</v>
      </c>
      <c r="BO16" s="83">
        <f>IF(AA22&gt;=$M$3,"Elected",AA22)</f>
        <v>0</v>
      </c>
      <c r="BP16" s="82"/>
      <c r="BR16" s="81" t="str">
        <f>'[1]Verification of Boxes'!J18</f>
        <v>KENDALL, Lauren</v>
      </c>
      <c r="BS16" s="86"/>
      <c r="BT16" s="9">
        <f>BS16*BT$6</f>
        <v>0</v>
      </c>
      <c r="BU16" s="86"/>
      <c r="BV16" s="9">
        <f>BU16*BV$6</f>
        <v>0</v>
      </c>
      <c r="BW16" s="86"/>
      <c r="BX16" s="9">
        <f>BW16*BX$6</f>
        <v>0</v>
      </c>
      <c r="BY16" s="86"/>
      <c r="BZ16" s="9">
        <f>BY16*BZ$6</f>
        <v>0</v>
      </c>
      <c r="CA16" s="86"/>
      <c r="CB16" s="9">
        <f>CA16*CB$6</f>
        <v>0</v>
      </c>
      <c r="CC16" s="86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76" t="str">
        <f>IF('[1]Stage 8'!A17&lt;&gt;0,'[1]Stage 8'!A17,IF(U17&gt;=$M$3,"Elected",IF(BP14&lt;&gt;0,"Excluded",0)))</f>
        <v>Excluded</v>
      </c>
      <c r="B17" s="73">
        <f>'[1]Stage 8'!B17</f>
        <v>0</v>
      </c>
      <c r="C17" s="77" t="str">
        <f>'[1]Verification of Boxes'!J16</f>
        <v>GRIBBIN, Aidan</v>
      </c>
      <c r="D17" s="76" t="str">
        <f>'[1]Verification of Boxes'!K16</f>
        <v>Aontú for Life, Unity, Economic Justice</v>
      </c>
      <c r="E17" s="70">
        <f>'[1]Verification of Boxes'!L16</f>
        <v>571</v>
      </c>
      <c r="F17" s="63">
        <f>'[1]Stage 2'!F17</f>
        <v>-571</v>
      </c>
      <c r="G17" s="52">
        <f>'[1]Stage 2'!G17</f>
        <v>0</v>
      </c>
      <c r="H17" s="63">
        <f>'[1]Stage 3'!H17</f>
        <v>0</v>
      </c>
      <c r="I17" s="52">
        <f>'[1]Stage 3'!I17</f>
        <v>0</v>
      </c>
      <c r="J17" s="63">
        <f>'[1]Stage 4'!J17</f>
        <v>0</v>
      </c>
      <c r="K17" s="52">
        <f>'[1]Stage 4'!K17</f>
        <v>0</v>
      </c>
      <c r="L17" s="63">
        <f>'[1]Stage 5'!L17</f>
        <v>0</v>
      </c>
      <c r="M17" s="52">
        <f>'[1]Stage 5'!M17</f>
        <v>0</v>
      </c>
      <c r="N17" s="63">
        <f>'[1]Stage 6'!N17</f>
        <v>0</v>
      </c>
      <c r="O17" s="52">
        <f>'[1]Stage 6'!O17</f>
        <v>0</v>
      </c>
      <c r="P17" s="63">
        <f>'[1]Stage 7'!P17</f>
        <v>0</v>
      </c>
      <c r="Q17" s="52">
        <f>'[1]Stage 7'!Q17</f>
        <v>0</v>
      </c>
      <c r="R17" s="63">
        <f>'[1]Stage 8'!R17</f>
        <v>0</v>
      </c>
      <c r="S17" s="52">
        <f>'[1]Stage 8'!S17</f>
        <v>0</v>
      </c>
      <c r="T17" s="63">
        <f>IF($C17&lt;&gt;0,$BK55,0)</f>
        <v>0</v>
      </c>
      <c r="U17" s="69">
        <f>IF(T$8=0,0,S17+T17)</f>
        <v>0</v>
      </c>
      <c r="V17" s="68"/>
      <c r="W17" s="67">
        <f>IF(V$8=0,0,U17+V17)</f>
        <v>0</v>
      </c>
      <c r="Z17" s="47" t="str">
        <f>'[1]Verification of Boxes'!J13</f>
        <v>BUCKLEY, Jonathan Glen</v>
      </c>
      <c r="AA17" s="46">
        <f>S14</f>
        <v>9351</v>
      </c>
      <c r="AB17" s="9"/>
      <c r="AC17" s="45">
        <f>IF(AA17&gt;0,AA17-AG$4,0)</f>
        <v>0</v>
      </c>
      <c r="AD17" s="44"/>
      <c r="AE17" s="9" t="str">
        <f>IF(Z17=0,0,IF(AA17&gt;=AG$4,"elected",IF(AA17=0,"excluded","continuing")))</f>
        <v>elected</v>
      </c>
      <c r="AF17" s="9">
        <f>IF(AE17="elected",AC17,0)</f>
        <v>0</v>
      </c>
      <c r="AG17" s="43">
        <f>IF(AF17=0,0,(IF(AC17&gt;=0,"transfer largest surplus","progress to exclude")))</f>
        <v>0</v>
      </c>
      <c r="AJ17" s="114"/>
      <c r="AL17" s="113"/>
      <c r="AM17" s="113"/>
      <c r="AN17" s="113"/>
      <c r="AO17" s="113"/>
      <c r="AP17" s="115"/>
      <c r="AQ17" s="113"/>
      <c r="AR17" s="112"/>
      <c r="BA17" s="59"/>
      <c r="BB17" s="59"/>
      <c r="BC17" s="15"/>
      <c r="BE17" s="87">
        <f>'[1]Verification of Boxes'!J22</f>
        <v>0</v>
      </c>
      <c r="BF17" s="86"/>
      <c r="BG17" s="45">
        <f>IF(BC$23&gt;0,BF17*BC$23,BF17*BC$29)</f>
        <v>0</v>
      </c>
      <c r="BH17" s="94"/>
      <c r="BI17" s="9">
        <f>IF(A23&lt;&gt;0,A23,0)</f>
        <v>0</v>
      </c>
      <c r="BJ17" s="9">
        <f>IF(C23=0,0,IF(S23=0,"Excluded",0))</f>
        <v>0</v>
      </c>
      <c r="BM17" s="59"/>
      <c r="BN17" s="9" t="str">
        <f>IF(A20&lt;&gt;0,A20,0)</f>
        <v>Excluded</v>
      </c>
      <c r="BO17" s="83">
        <f>IF(AA23&gt;=$M$3,"Elected",AA23)</f>
        <v>8588.7099999999991</v>
      </c>
      <c r="BP17" s="82"/>
      <c r="BR17" s="81" t="str">
        <f>'[1]Verification of Boxes'!J19</f>
        <v>MACKLE, Liam</v>
      </c>
      <c r="BS17" s="86"/>
      <c r="BT17" s="9">
        <f>BS17*BT$6</f>
        <v>0</v>
      </c>
      <c r="BU17" s="86"/>
      <c r="BV17" s="9">
        <f>BU17*BV$6</f>
        <v>0</v>
      </c>
      <c r="BW17" s="86"/>
      <c r="BX17" s="9">
        <f>BW17*BX$6</f>
        <v>0</v>
      </c>
      <c r="BY17" s="86"/>
      <c r="BZ17" s="9">
        <f>BY17*BZ$6</f>
        <v>0</v>
      </c>
      <c r="CA17" s="86"/>
      <c r="CB17" s="9">
        <f>CA17*CB$6</f>
        <v>0</v>
      </c>
      <c r="CC17" s="86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76" t="str">
        <f>IF('[1]Stage 8'!A18&lt;&gt;0,'[1]Stage 8'!A18,IF(U18&gt;=$M$3,"Elected",IF(BP15&lt;&gt;0,"Excluded",0)))</f>
        <v>Excluded</v>
      </c>
      <c r="B18" s="73">
        <f>'[1]Stage 8'!B18</f>
        <v>0</v>
      </c>
      <c r="C18" s="77" t="str">
        <f>'[1]Verification of Boxes'!J17</f>
        <v>KELLY, Dolores</v>
      </c>
      <c r="D18" s="76" t="str">
        <f>'[1]Verification of Boxes'!K17</f>
        <v>SDLP (Social Democratic &amp; Labour Party)</v>
      </c>
      <c r="E18" s="70">
        <f>'[1]Verification of Boxes'!L17</f>
        <v>3645</v>
      </c>
      <c r="F18" s="63">
        <f>'[1]Stage 2'!F18</f>
        <v>198</v>
      </c>
      <c r="G18" s="52">
        <f>'[1]Stage 2'!G18</f>
        <v>3843</v>
      </c>
      <c r="H18" s="63">
        <f>'[1]Stage 3'!H18</f>
        <v>32</v>
      </c>
      <c r="I18" s="52">
        <f>'[1]Stage 3'!I18</f>
        <v>3875</v>
      </c>
      <c r="J18" s="63">
        <f>'[1]Stage 4'!J18</f>
        <v>-3875</v>
      </c>
      <c r="K18" s="52">
        <f>'[1]Stage 4'!K18</f>
        <v>0</v>
      </c>
      <c r="L18" s="63">
        <f>'[1]Stage 5'!L18</f>
        <v>0</v>
      </c>
      <c r="M18" s="52">
        <f>'[1]Stage 5'!M18</f>
        <v>0</v>
      </c>
      <c r="N18" s="63">
        <f>'[1]Stage 6'!N18</f>
        <v>0</v>
      </c>
      <c r="O18" s="52">
        <f>'[1]Stage 6'!O18</f>
        <v>0</v>
      </c>
      <c r="P18" s="63">
        <f>'[1]Stage 7'!P18</f>
        <v>0</v>
      </c>
      <c r="Q18" s="52">
        <f>'[1]Stage 7'!Q18</f>
        <v>0</v>
      </c>
      <c r="R18" s="63">
        <f>'[1]Stage 8'!R18</f>
        <v>0</v>
      </c>
      <c r="S18" s="52">
        <f>'[1]Stage 8'!S18</f>
        <v>0</v>
      </c>
      <c r="T18" s="63">
        <f>IF($C18&lt;&gt;0,$BK56,0)</f>
        <v>0</v>
      </c>
      <c r="U18" s="69">
        <f>IF(T$8=0,0,S18+T18)</f>
        <v>0</v>
      </c>
      <c r="V18" s="68"/>
      <c r="W18" s="67">
        <f>IF(V$8=0,0,U18+V18)</f>
        <v>0</v>
      </c>
      <c r="Z18" s="47" t="str">
        <f>'[1]Verification of Boxes'!J14</f>
        <v>DODDS, Diane</v>
      </c>
      <c r="AA18" s="46">
        <f>S15</f>
        <v>9351</v>
      </c>
      <c r="AB18" s="9"/>
      <c r="AC18" s="45">
        <f>IF(AA18&gt;0,AA18-AG$4,0)</f>
        <v>0</v>
      </c>
      <c r="AD18" s="44"/>
      <c r="AE18" s="9" t="str">
        <f>IF(Z18=0,0,IF(AA18&gt;=AG$4,"elected",IF(AA18=0,"excluded","continuing")))</f>
        <v>elected</v>
      </c>
      <c r="AF18" s="9">
        <f>IF(AE18="elected",AC18,0)</f>
        <v>0</v>
      </c>
      <c r="AG18" s="43">
        <f>IF(AF18=0,0,(IF(AC18&gt;=0,"transfer largest surplus","progress to exclude")))</f>
        <v>0</v>
      </c>
      <c r="AJ18" s="114"/>
      <c r="AN18" s="113"/>
      <c r="AR18" s="112"/>
      <c r="AZ18" t="s">
        <v>51</v>
      </c>
      <c r="BA18" s="59" t="s">
        <v>50</v>
      </c>
      <c r="BB18" s="59"/>
      <c r="BC18" s="48">
        <f>BF25</f>
        <v>0</v>
      </c>
      <c r="BE18" s="87">
        <f>'[1]Verification of Boxes'!J23</f>
        <v>0</v>
      </c>
      <c r="BF18" s="86"/>
      <c r="BG18" s="45">
        <f>IF(BC$23&gt;0,BF18*BC$23,BF18*BC$29)</f>
        <v>0</v>
      </c>
      <c r="BH18" s="94"/>
      <c r="BI18" s="9">
        <f>IF(A24&lt;&gt;0,A24,0)</f>
        <v>0</v>
      </c>
      <c r="BJ18" s="9">
        <f>IF(C24=0,0,IF(S24=0,"Excluded",0))</f>
        <v>0</v>
      </c>
      <c r="BM18" s="59"/>
      <c r="BN18" s="9" t="str">
        <f>IF(A21&lt;&gt;0,A21,0)</f>
        <v>Elected</v>
      </c>
      <c r="BO18" s="83" t="str">
        <f>IF(AA24&gt;=$M$3,"Elected",AA24)</f>
        <v>Elected</v>
      </c>
      <c r="BP18" s="82"/>
      <c r="BR18" s="81" t="str">
        <f>'[1]Verification of Boxes'!J20</f>
        <v>O'DOWD, John</v>
      </c>
      <c r="BS18" s="86"/>
      <c r="BT18" s="9">
        <f>BS18*BT$6</f>
        <v>0</v>
      </c>
      <c r="BU18" s="86"/>
      <c r="BV18" s="9">
        <f>BU18*BV$6</f>
        <v>0</v>
      </c>
      <c r="BW18" s="86"/>
      <c r="BX18" s="9">
        <f>BW18*BX$6</f>
        <v>0</v>
      </c>
      <c r="BY18" s="86"/>
      <c r="BZ18" s="9">
        <f>BY18*BZ$6</f>
        <v>0</v>
      </c>
      <c r="CA18" s="86"/>
      <c r="CB18" s="9">
        <f>CA18*CB$6</f>
        <v>0</v>
      </c>
      <c r="CC18" s="86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76" t="str">
        <f>IF('[1]Stage 8'!A19&lt;&gt;0,'[1]Stage 8'!A19,IF(U19&gt;=$M$3,"Elected",IF(BP16&lt;&gt;0,"Excluded",0)))</f>
        <v>Excluded</v>
      </c>
      <c r="B19" s="73">
        <f>'[1]Stage 8'!B19</f>
        <v>0</v>
      </c>
      <c r="C19" s="77" t="str">
        <f>'[1]Verification of Boxes'!J18</f>
        <v>KENDALL, Lauren</v>
      </c>
      <c r="D19" s="76" t="str">
        <f>'[1]Verification of Boxes'!K18</f>
        <v>Green Party Northern Ireland</v>
      </c>
      <c r="E19" s="70">
        <f>'[1]Verification of Boxes'!L18</f>
        <v>459</v>
      </c>
      <c r="F19" s="63">
        <f>'[1]Stage 2'!F19</f>
        <v>-459</v>
      </c>
      <c r="G19" s="52">
        <f>'[1]Stage 2'!G19</f>
        <v>0</v>
      </c>
      <c r="H19" s="63">
        <f>'[1]Stage 3'!H19</f>
        <v>0</v>
      </c>
      <c r="I19" s="52">
        <f>'[1]Stage 3'!I19</f>
        <v>0</v>
      </c>
      <c r="J19" s="63">
        <f>'[1]Stage 4'!J19</f>
        <v>0</v>
      </c>
      <c r="K19" s="52">
        <f>'[1]Stage 4'!K19</f>
        <v>0</v>
      </c>
      <c r="L19" s="63">
        <f>'[1]Stage 5'!L19</f>
        <v>0</v>
      </c>
      <c r="M19" s="52">
        <f>'[1]Stage 5'!M19</f>
        <v>0</v>
      </c>
      <c r="N19" s="63">
        <f>'[1]Stage 6'!N19</f>
        <v>0</v>
      </c>
      <c r="O19" s="52">
        <f>'[1]Stage 6'!O19</f>
        <v>0</v>
      </c>
      <c r="P19" s="63">
        <f>'[1]Stage 7'!P19</f>
        <v>0</v>
      </c>
      <c r="Q19" s="52">
        <f>'[1]Stage 7'!Q19</f>
        <v>0</v>
      </c>
      <c r="R19" s="63">
        <f>'[1]Stage 8'!R19</f>
        <v>0</v>
      </c>
      <c r="S19" s="52">
        <f>'[1]Stage 8'!S19</f>
        <v>0</v>
      </c>
      <c r="T19" s="63">
        <f>IF($C19&lt;&gt;0,$BK57,0)</f>
        <v>0</v>
      </c>
      <c r="U19" s="69">
        <f>IF(T$8=0,0,S19+T19)</f>
        <v>0</v>
      </c>
      <c r="V19" s="68"/>
      <c r="W19" s="67">
        <f>IF(V$8=0,0,U19+V19)</f>
        <v>0</v>
      </c>
      <c r="Z19" s="47" t="str">
        <f>'[1]Verification of Boxes'!J15</f>
        <v>FOSTER, Darrin</v>
      </c>
      <c r="AA19" s="46">
        <f>S16</f>
        <v>0</v>
      </c>
      <c r="AB19" s="9"/>
      <c r="AC19" s="45">
        <f>IF(AA19&gt;0,AA19-AG$4,0)</f>
        <v>0</v>
      </c>
      <c r="AD19" s="44"/>
      <c r="AE19" s="9" t="str">
        <f>IF(Z19=0,0,IF(AA19&gt;=AG$4,"elected",IF(AA19=0,"excluded","continuing")))</f>
        <v>excluded</v>
      </c>
      <c r="AF19" s="9">
        <f>IF(AE19="elected",AC19,0)</f>
        <v>0</v>
      </c>
      <c r="AG19" s="43">
        <f>IF(AF19=0,0,(IF(AC19&gt;=0,"transfer largest surplus","progress to exclude")))</f>
        <v>0</v>
      </c>
      <c r="AJ19" s="111"/>
      <c r="AK19" s="109"/>
      <c r="AL19" s="109"/>
      <c r="AM19" s="109"/>
      <c r="AN19" s="110"/>
      <c r="AO19" s="109"/>
      <c r="AP19" s="109"/>
      <c r="AQ19" s="109"/>
      <c r="AR19" s="108"/>
      <c r="AZ19" t="s">
        <v>49</v>
      </c>
      <c r="BA19" s="59" t="s">
        <v>48</v>
      </c>
      <c r="BB19" s="59"/>
      <c r="BC19" s="48">
        <f>BC18*BC14</f>
        <v>0</v>
      </c>
      <c r="BE19" s="87">
        <f>'[1]Verification of Boxes'!J24</f>
        <v>0</v>
      </c>
      <c r="BF19" s="86"/>
      <c r="BG19" s="45">
        <f>IF(BC$23&gt;0,BF19*BC$23,BF19*BC$29)</f>
        <v>0</v>
      </c>
      <c r="BH19" s="94"/>
      <c r="BI19" s="9">
        <f>IF(A25&lt;&gt;0,A25,0)</f>
        <v>0</v>
      </c>
      <c r="BJ19" s="9">
        <f>IF(C25=0,0,IF(S25=0,"Excluded",0))</f>
        <v>0</v>
      </c>
      <c r="BM19" s="59"/>
      <c r="BN19" s="9" t="str">
        <f>IF(A22&lt;&gt;0,A22,0)</f>
        <v>Elected</v>
      </c>
      <c r="BO19" s="83">
        <f>IF(AA25&gt;=$M$3,"Elected",AA25)</f>
        <v>8964.7800000000007</v>
      </c>
      <c r="BP19" s="82"/>
      <c r="BR19" s="81" t="str">
        <f>'[1]Verification of Boxes'!J21</f>
        <v>TENNYSON, Eóin</v>
      </c>
      <c r="BS19" s="86"/>
      <c r="BT19" s="9">
        <f>BS19*BT$6</f>
        <v>0</v>
      </c>
      <c r="BU19" s="86"/>
      <c r="BV19" s="9">
        <f>BU19*BV$6</f>
        <v>0</v>
      </c>
      <c r="BW19" s="86"/>
      <c r="BX19" s="9">
        <f>BW19*BX$6</f>
        <v>0</v>
      </c>
      <c r="BY19" s="86"/>
      <c r="BZ19" s="9">
        <f>BY19*BZ$6</f>
        <v>0</v>
      </c>
      <c r="CA19" s="86"/>
      <c r="CB19" s="9">
        <f>CA19*CB$6</f>
        <v>0</v>
      </c>
      <c r="CC19" s="86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76" t="s">
        <v>129</v>
      </c>
      <c r="B20" s="73">
        <f>'[1]Stage 8'!B20</f>
        <v>0</v>
      </c>
      <c r="C20" s="77" t="str">
        <f>'[1]Verification of Boxes'!J19</f>
        <v>MACKLE, Liam</v>
      </c>
      <c r="D20" s="76" t="str">
        <f>'[1]Verification of Boxes'!K19</f>
        <v>Sinn Féin</v>
      </c>
      <c r="E20" s="70">
        <f>'[1]Verification of Boxes'!L19</f>
        <v>7260</v>
      </c>
      <c r="F20" s="63">
        <f>'[1]Stage 2'!F20</f>
        <v>91</v>
      </c>
      <c r="G20" s="52">
        <f>'[1]Stage 2'!G20</f>
        <v>7351</v>
      </c>
      <c r="H20" s="63">
        <f>'[1]Stage 3'!H20</f>
        <v>3</v>
      </c>
      <c r="I20" s="52">
        <f>'[1]Stage 3'!I20</f>
        <v>7354</v>
      </c>
      <c r="J20" s="63">
        <f>'[1]Stage 4'!J20</f>
        <v>758</v>
      </c>
      <c r="K20" s="52">
        <f>'[1]Stage 4'!K20</f>
        <v>8112</v>
      </c>
      <c r="L20" s="63">
        <f>'[1]Stage 5'!L20</f>
        <v>11</v>
      </c>
      <c r="M20" s="52">
        <f>'[1]Stage 5'!M20</f>
        <v>8123</v>
      </c>
      <c r="N20" s="63">
        <f>'[1]Stage 6'!N20</f>
        <v>1</v>
      </c>
      <c r="O20" s="52">
        <f>'[1]Stage 6'!O20</f>
        <v>8124</v>
      </c>
      <c r="P20" s="63">
        <f>'[1]Stage 7'!P20</f>
        <v>0.71</v>
      </c>
      <c r="Q20" s="52">
        <f>'[1]Stage 7'!Q20</f>
        <v>8124.71</v>
      </c>
      <c r="R20" s="63">
        <f>'[1]Stage 8'!R20</f>
        <v>464</v>
      </c>
      <c r="S20" s="52">
        <f>'[1]Stage 8'!S20</f>
        <v>8588.7099999999991</v>
      </c>
      <c r="T20" s="63">
        <f>IF($C20&lt;&gt;0,$BK58,0)</f>
        <v>0</v>
      </c>
      <c r="U20" s="69">
        <f>IF(T$8=0,0,S20+T20)</f>
        <v>0</v>
      </c>
      <c r="V20" s="68"/>
      <c r="W20" s="67">
        <f>IF(V$8=0,0,U20+V20)</f>
        <v>0</v>
      </c>
      <c r="Z20" s="47" t="str">
        <f>'[1]Verification of Boxes'!J16</f>
        <v>GRIBBIN, Aidan</v>
      </c>
      <c r="AA20" s="46">
        <f>S17</f>
        <v>0</v>
      </c>
      <c r="AB20" s="9"/>
      <c r="AC20" s="45">
        <f>IF(AA20&gt;0,AA20-AG$4,0)</f>
        <v>0</v>
      </c>
      <c r="AD20" s="44"/>
      <c r="AE20" s="9" t="str">
        <f>IF(Z20=0,0,IF(AA20&gt;=AG$4,"elected",IF(AA20=0,"excluded","continuing")))</f>
        <v>excluded</v>
      </c>
      <c r="AF20" s="9">
        <f>IF(AE20="elected",AC20,0)</f>
        <v>0</v>
      </c>
      <c r="AG20" s="43">
        <f>IF(AF20=0,0,(IF(AC20&gt;=0,"transfer largest surplus","progress to exclude")))</f>
        <v>0</v>
      </c>
      <c r="AJ20" s="107" t="s">
        <v>47</v>
      </c>
      <c r="AK20" s="106"/>
      <c r="AL20" s="105">
        <f>AL46</f>
        <v>8588.7099999999991</v>
      </c>
      <c r="AM20" s="74"/>
      <c r="AN20" s="105">
        <f>AL20+AG2</f>
        <v>8809.6899999999987</v>
      </c>
      <c r="AO20" s="104" t="str">
        <f>IF(AN20&gt;AG4,0,IF(AN20&lt;AL21,"Exclude lowest candidate",0))</f>
        <v>Exclude lowest candidate</v>
      </c>
      <c r="AP20" s="103"/>
      <c r="AQ20" s="102">
        <f>IF(AN20&gt;AG4,0,IF(AT20=1,"Exclude 1",0))</f>
        <v>0</v>
      </c>
      <c r="AR20" s="74">
        <f>IF(AN20&gt;AG$4,0,IF(AM21&gt;AN20,"Exclude lowest",0))</f>
        <v>0</v>
      </c>
      <c r="AT20" s="20"/>
      <c r="AU20" s="101"/>
      <c r="AV20" s="101"/>
      <c r="AW20" s="19"/>
      <c r="BA20" s="59"/>
      <c r="BB20" s="59"/>
      <c r="BE20" s="87">
        <f>'[1]Verification of Boxes'!J25</f>
        <v>0</v>
      </c>
      <c r="BF20" s="86"/>
      <c r="BG20" s="45">
        <f>IF(BC$23&gt;0,BF20*BC$23,BF20*BC$29)</f>
        <v>0</v>
      </c>
      <c r="BH20" s="94"/>
      <c r="BI20" s="9">
        <f>IF(A26&lt;&gt;0,A26,0)</f>
        <v>0</v>
      </c>
      <c r="BJ20" s="9">
        <f>IF(C26=0,0,IF(S26=0,"Excluded",0))</f>
        <v>0</v>
      </c>
      <c r="BM20" s="59"/>
      <c r="BN20" s="9">
        <f>IF(A23&lt;&gt;0,A23,0)</f>
        <v>0</v>
      </c>
      <c r="BO20" s="83">
        <f>IF(AA26&gt;=$M$3,"Elected",AA26)</f>
        <v>0</v>
      </c>
      <c r="BP20" s="82"/>
      <c r="BR20" s="81">
        <f>'[1]Verification of Boxes'!J22</f>
        <v>0</v>
      </c>
      <c r="BS20" s="86"/>
      <c r="BT20" s="9">
        <f>BS20*BT$6</f>
        <v>0</v>
      </c>
      <c r="BU20" s="86"/>
      <c r="BV20" s="9">
        <f>BU20*BV$6</f>
        <v>0</v>
      </c>
      <c r="BW20" s="86"/>
      <c r="BX20" s="9">
        <f>BW20*BX$6</f>
        <v>0</v>
      </c>
      <c r="BY20" s="86"/>
      <c r="BZ20" s="9">
        <f>BY20*BZ$6</f>
        <v>0</v>
      </c>
      <c r="CA20" s="86"/>
      <c r="CB20" s="9">
        <f>CA20*CB$6</f>
        <v>0</v>
      </c>
      <c r="CC20" s="86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76" t="str">
        <f>IF('[1]Stage 8'!A21&lt;&gt;0,'[1]Stage 8'!A21,IF(U21&gt;=$M$3,"Elected",IF(BP18&lt;&gt;0,"Excluded",0)))</f>
        <v>Elected</v>
      </c>
      <c r="B21" s="73">
        <f>'[1]Stage 8'!B21</f>
        <v>0</v>
      </c>
      <c r="C21" s="77" t="str">
        <f>'[1]Verification of Boxes'!J20</f>
        <v>O'DOWD, John</v>
      </c>
      <c r="D21" s="76" t="str">
        <f>'[1]Verification of Boxes'!K20</f>
        <v>Sinn Féin</v>
      </c>
      <c r="E21" s="70">
        <f>'[1]Verification of Boxes'!L20</f>
        <v>9242</v>
      </c>
      <c r="F21" s="63">
        <f>'[1]Stage 2'!F21</f>
        <v>76</v>
      </c>
      <c r="G21" s="52">
        <f>'[1]Stage 2'!G21</f>
        <v>9318</v>
      </c>
      <c r="H21" s="63">
        <f>'[1]Stage 3'!H21</f>
        <v>5</v>
      </c>
      <c r="I21" s="52">
        <f>'[1]Stage 3'!I21</f>
        <v>9323</v>
      </c>
      <c r="J21" s="63">
        <f>'[1]Stage 4'!J21</f>
        <v>823</v>
      </c>
      <c r="K21" s="52">
        <f>'[1]Stage 4'!K21</f>
        <v>10146</v>
      </c>
      <c r="L21" s="63">
        <f>'[1]Stage 5'!L21</f>
        <v>0</v>
      </c>
      <c r="M21" s="52">
        <f>'[1]Stage 5'!M21</f>
        <v>10146</v>
      </c>
      <c r="N21" s="63">
        <f>'[1]Stage 6'!N21</f>
        <v>0</v>
      </c>
      <c r="O21" s="52">
        <f>'[1]Stage 6'!O21</f>
        <v>10146</v>
      </c>
      <c r="P21" s="63">
        <f>'[1]Stage 7'!P21</f>
        <v>0</v>
      </c>
      <c r="Q21" s="52">
        <f>'[1]Stage 7'!Q21</f>
        <v>10146</v>
      </c>
      <c r="R21" s="63">
        <f>'[1]Stage 8'!R21</f>
        <v>-795</v>
      </c>
      <c r="S21" s="52">
        <f>'[1]Stage 8'!S21</f>
        <v>9351</v>
      </c>
      <c r="T21" s="63">
        <f>IF($C21&lt;&gt;0,$BK59,0)</f>
        <v>0</v>
      </c>
      <c r="U21" s="69">
        <f>IF(T$8=0,0,S21+T21)</f>
        <v>0</v>
      </c>
      <c r="V21" s="68"/>
      <c r="W21" s="67">
        <f>IF(V$8=0,0,U21+V21)</f>
        <v>0</v>
      </c>
      <c r="Z21" s="47" t="str">
        <f>'[1]Verification of Boxes'!J17</f>
        <v>KELLY, Dolores</v>
      </c>
      <c r="AA21" s="46">
        <f>S18</f>
        <v>0</v>
      </c>
      <c r="AB21" s="9"/>
      <c r="AC21" s="45">
        <f>IF(AA21&gt;0,AA21-AG$4,0)</f>
        <v>0</v>
      </c>
      <c r="AD21" s="44"/>
      <c r="AE21" s="9" t="str">
        <f>IF(Z21=0,0,IF(AA21&gt;=AG$4,"elected",IF(AA21=0,"excluded","continuing")))</f>
        <v>excluded</v>
      </c>
      <c r="AF21" s="9">
        <f>IF(AE21="elected",AC21,0)</f>
        <v>0</v>
      </c>
      <c r="AG21" s="43">
        <f>IF(AF21=0,0,(IF(AC21&gt;=0,"transfer largest surplus","progress to exclude")))</f>
        <v>0</v>
      </c>
      <c r="AJ21" s="99" t="s">
        <v>41</v>
      </c>
      <c r="AK21" s="98"/>
      <c r="AL21" s="46">
        <f>IF(AL20=1000000,0,AN46)</f>
        <v>8964.7800000000007</v>
      </c>
      <c r="AM21" s="9">
        <f>AL21-AL20</f>
        <v>376.07000000000153</v>
      </c>
      <c r="AN21" s="9">
        <f>IF(AL21=1000000,0,IF(AN20=0,0,AN20+AL21))</f>
        <v>17774.47</v>
      </c>
      <c r="AO21" s="97">
        <f>IF(AN21&gt;AG4,0,IF(AV20&lt;&gt;0,0,IF(AN21&lt;AL22,"Exclude lowest 2 candidates",0)))</f>
        <v>0</v>
      </c>
      <c r="AP21" s="96"/>
      <c r="AQ21" s="95">
        <f>IF(AN21&gt;AG4,0,IF(AT21=2,"Exclude 2",0))</f>
        <v>0</v>
      </c>
      <c r="AR21" s="9">
        <f>IF(AN21&gt;AG$4,0,IF(AM22&gt;AN21,"Exclude - Consider Question 2",0))</f>
        <v>0</v>
      </c>
      <c r="AT21" s="14"/>
      <c r="AW21" s="13"/>
      <c r="AZ21" t="s">
        <v>46</v>
      </c>
      <c r="BA21" s="59"/>
      <c r="BB21" s="59"/>
      <c r="BE21" s="87">
        <f>'[1]Verification of Boxes'!J26</f>
        <v>0</v>
      </c>
      <c r="BF21" s="86"/>
      <c r="BG21" s="45">
        <f>IF(BC$23&gt;0,BF21*BC$23,BF21*BC$29)</f>
        <v>0</v>
      </c>
      <c r="BH21" s="94"/>
      <c r="BI21" s="9">
        <f>IF(A27&lt;&gt;0,A27,0)</f>
        <v>0</v>
      </c>
      <c r="BJ21" s="9">
        <f>IF(C27=0,0,IF(S27=0,"Excluded",0))</f>
        <v>0</v>
      </c>
      <c r="BM21" s="59"/>
      <c r="BN21" s="9">
        <f>IF(A24&lt;&gt;0,A24,0)</f>
        <v>0</v>
      </c>
      <c r="BO21" s="83">
        <f>IF(AA27&gt;=$M$3,"Elected",AA27)</f>
        <v>0</v>
      </c>
      <c r="BP21" s="82"/>
      <c r="BR21" s="81">
        <f>'[1]Verification of Boxes'!J23</f>
        <v>0</v>
      </c>
      <c r="BS21" s="86"/>
      <c r="BT21" s="9">
        <f>BS21*BT$6</f>
        <v>0</v>
      </c>
      <c r="BU21" s="86"/>
      <c r="BV21" s="9">
        <f>BU21*BV$6</f>
        <v>0</v>
      </c>
      <c r="BW21" s="86"/>
      <c r="BX21" s="9">
        <f>BW21*BX$6</f>
        <v>0</v>
      </c>
      <c r="BY21" s="86"/>
      <c r="BZ21" s="9">
        <f>BY21*BZ$6</f>
        <v>0</v>
      </c>
      <c r="CA21" s="86"/>
      <c r="CB21" s="9">
        <f>CA21*CB$6</f>
        <v>0</v>
      </c>
      <c r="CC21" s="86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76" t="s">
        <v>71</v>
      </c>
      <c r="B22" s="73">
        <f>'[1]Stage 8'!B22</f>
        <v>0</v>
      </c>
      <c r="C22" s="77" t="str">
        <f>'[1]Verification of Boxes'!J21</f>
        <v>TENNYSON, Eóin</v>
      </c>
      <c r="D22" s="76" t="str">
        <f>'[1]Verification of Boxes'!K21</f>
        <v>Alliance Party</v>
      </c>
      <c r="E22" s="70">
        <f>'[1]Verification of Boxes'!L21</f>
        <v>6440</v>
      </c>
      <c r="F22" s="63">
        <f>'[1]Stage 2'!F22</f>
        <v>322</v>
      </c>
      <c r="G22" s="52">
        <f>'[1]Stage 2'!G22</f>
        <v>6762</v>
      </c>
      <c r="H22" s="63">
        <f>'[1]Stage 3'!H22</f>
        <v>107</v>
      </c>
      <c r="I22" s="52">
        <f>'[1]Stage 3'!I22</f>
        <v>6869</v>
      </c>
      <c r="J22" s="63">
        <f>'[1]Stage 4'!J22</f>
        <v>1722</v>
      </c>
      <c r="K22" s="52">
        <f>'[1]Stage 4'!K22</f>
        <v>8591</v>
      </c>
      <c r="L22" s="63">
        <f>'[1]Stage 5'!L22</f>
        <v>85</v>
      </c>
      <c r="M22" s="52">
        <f>'[1]Stage 5'!M22</f>
        <v>8676</v>
      </c>
      <c r="N22" s="63">
        <f>'[1]Stage 6'!N22</f>
        <v>9</v>
      </c>
      <c r="O22" s="52">
        <f>'[1]Stage 6'!O22</f>
        <v>8685</v>
      </c>
      <c r="P22" s="63">
        <f>'[1]Stage 7'!P22</f>
        <v>12.78</v>
      </c>
      <c r="Q22" s="52">
        <f>'[1]Stage 7'!Q22</f>
        <v>8697.7800000000007</v>
      </c>
      <c r="R22" s="63">
        <f>'[1]Stage 8'!R22</f>
        <v>267</v>
      </c>
      <c r="S22" s="52">
        <f>'[1]Stage 8'!S22</f>
        <v>8964.7800000000007</v>
      </c>
      <c r="T22" s="63">
        <f>IF($C22&lt;&gt;0,$BK60,0)</f>
        <v>0</v>
      </c>
      <c r="U22" s="69">
        <f>IF(T$8=0,0,S22+T22)</f>
        <v>0</v>
      </c>
      <c r="V22" s="68"/>
      <c r="W22" s="67">
        <f>IF(V$8=0,0,U22+V22)</f>
        <v>0</v>
      </c>
      <c r="Z22" s="47" t="str">
        <f>'[1]Verification of Boxes'!J18</f>
        <v>KENDALL, Lauren</v>
      </c>
      <c r="AA22" s="46">
        <f>S19</f>
        <v>0</v>
      </c>
      <c r="AB22" s="9"/>
      <c r="AC22" s="45">
        <f>IF(AA22&gt;0,AA22-AG$4,0)</f>
        <v>0</v>
      </c>
      <c r="AD22" s="44"/>
      <c r="AE22" s="9" t="str">
        <f>IF(Z22=0,0,IF(AA22&gt;=AG$4,"elected",IF(AA22=0,"excluded","continuing")))</f>
        <v>excluded</v>
      </c>
      <c r="AF22" s="9">
        <f>IF(AE22="elected",AC22,0)</f>
        <v>0</v>
      </c>
      <c r="AG22" s="43">
        <f>IF(AF22=0,0,(IF(AC22&gt;=0,"transfer largest surplus","progress to exclude")))</f>
        <v>0</v>
      </c>
      <c r="AJ22" s="99" t="s">
        <v>41</v>
      </c>
      <c r="AK22" s="98"/>
      <c r="AL22" s="46">
        <f>IF(AL21=1000000,0,AP46)</f>
        <v>9351</v>
      </c>
      <c r="AM22" s="9">
        <f>IF(AL22=1000000,0,IF(AM21=0,0,AL22-AL21))</f>
        <v>386.21999999999935</v>
      </c>
      <c r="AN22" s="9">
        <f>IF(AL22=1000000,0,IF(AN21=0,0,AN21+AL22))</f>
        <v>27125.47</v>
      </c>
      <c r="AO22" s="97">
        <f>IF(AN22&gt;AG4,0,IF(AV21&lt;&gt;0,0,IF(AN22&lt;AL23,"Exclude lowest 3 candidates",0)))</f>
        <v>0</v>
      </c>
      <c r="AP22" s="96"/>
      <c r="AQ22" s="95">
        <f>IF(AN22&gt;AG4,0,IF(AT22=3,"Exclude 3",0))</f>
        <v>0</v>
      </c>
      <c r="AR22" s="9">
        <f>IF(AN22&gt;AG$4,0,IF(AM23&gt;AN22,"Exclude - Consider Question 2",0))</f>
        <v>0</v>
      </c>
      <c r="AT22" s="14"/>
      <c r="AW22" s="13"/>
      <c r="AZ22" s="100" t="s">
        <v>45</v>
      </c>
      <c r="BA22" s="59"/>
      <c r="BB22" s="59"/>
      <c r="BE22" s="87">
        <f>'[1]Verification of Boxes'!J27</f>
        <v>0</v>
      </c>
      <c r="BF22" s="86"/>
      <c r="BG22" s="45">
        <f>IF(BC$23&gt;0,BF22*BC$23,BF22*BC$29)</f>
        <v>0</v>
      </c>
      <c r="BH22" s="94"/>
      <c r="BI22" s="9">
        <f>IF(A28&lt;&gt;0,A28,0)</f>
        <v>0</v>
      </c>
      <c r="BJ22" s="9">
        <f>IF(C28=0,0,IF(S28=0,"Excluded",0))</f>
        <v>0</v>
      </c>
      <c r="BM22" s="59"/>
      <c r="BN22" s="9">
        <f>IF(A25&lt;&gt;0,A25,0)</f>
        <v>0</v>
      </c>
      <c r="BO22" s="83">
        <f>IF(AA28&gt;=$M$3,"Elected",AA28)</f>
        <v>0</v>
      </c>
      <c r="BP22" s="82"/>
      <c r="BR22" s="81">
        <f>'[1]Verification of Boxes'!J24</f>
        <v>0</v>
      </c>
      <c r="BS22" s="86"/>
      <c r="BT22" s="9">
        <f>BS22*BT$6</f>
        <v>0</v>
      </c>
      <c r="BU22" s="86"/>
      <c r="BV22" s="9">
        <f>BU22*BV$6</f>
        <v>0</v>
      </c>
      <c r="BW22" s="86"/>
      <c r="BX22" s="9">
        <f>BW22*BX$6</f>
        <v>0</v>
      </c>
      <c r="BY22" s="86"/>
      <c r="BZ22" s="9">
        <f>BY22*BZ$6</f>
        <v>0</v>
      </c>
      <c r="CA22" s="86"/>
      <c r="CB22" s="9">
        <f>CA22*CB$6</f>
        <v>0</v>
      </c>
      <c r="CC22" s="86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76">
        <f>IF('[1]Stage 8'!A23&lt;&gt;0,'[1]Stage 8'!A23,IF(U23&gt;=$M$3,"Elected",IF(BP20&lt;&gt;0,"Excluded",0)))</f>
        <v>0</v>
      </c>
      <c r="B23" s="73">
        <f>'[1]Stage 8'!B23</f>
        <v>0</v>
      </c>
      <c r="C23" s="77">
        <f>'[1]Verification of Boxes'!J22</f>
        <v>0</v>
      </c>
      <c r="D23" s="76">
        <f>'[1]Verification of Boxes'!K22</f>
        <v>0</v>
      </c>
      <c r="E23" s="70">
        <f>'[1]Verification of Boxes'!L22</f>
        <v>0</v>
      </c>
      <c r="F23" s="63">
        <f>'[1]Stage 2'!F23</f>
        <v>0</v>
      </c>
      <c r="G23" s="52">
        <f>'[1]Stage 2'!G23</f>
        <v>0</v>
      </c>
      <c r="H23" s="63">
        <f>'[1]Stage 3'!H23</f>
        <v>0</v>
      </c>
      <c r="I23" s="52">
        <f>'[1]Stage 3'!I23</f>
        <v>0</v>
      </c>
      <c r="J23" s="63">
        <f>'[1]Stage 4'!J23</f>
        <v>0</v>
      </c>
      <c r="K23" s="52">
        <f>'[1]Stage 4'!K23</f>
        <v>0</v>
      </c>
      <c r="L23" s="63">
        <f>'[1]Stage 5'!L23</f>
        <v>0</v>
      </c>
      <c r="M23" s="52">
        <f>'[1]Stage 5'!M23</f>
        <v>0</v>
      </c>
      <c r="N23" s="63">
        <f>'[1]Stage 6'!N23</f>
        <v>0</v>
      </c>
      <c r="O23" s="52">
        <f>'[1]Stage 6'!O23</f>
        <v>0</v>
      </c>
      <c r="P23" s="63">
        <f>'[1]Stage 7'!P23</f>
        <v>0</v>
      </c>
      <c r="Q23" s="52">
        <f>'[1]Stage 7'!Q23</f>
        <v>0</v>
      </c>
      <c r="R23" s="63">
        <f>'[1]Stage 8'!R23</f>
        <v>0</v>
      </c>
      <c r="S23" s="52">
        <f>'[1]Stage 8'!S23</f>
        <v>0</v>
      </c>
      <c r="T23" s="63">
        <f>IF($C23&lt;&gt;0,$BK61,0)</f>
        <v>0</v>
      </c>
      <c r="U23" s="69">
        <f>IF(T$8=0,0,S23+T23)</f>
        <v>0</v>
      </c>
      <c r="V23" s="68"/>
      <c r="W23" s="67">
        <f>IF(V$8=0,0,U23+V23)</f>
        <v>0</v>
      </c>
      <c r="Z23" s="47" t="str">
        <f>'[1]Verification of Boxes'!J19</f>
        <v>MACKLE, Liam</v>
      </c>
      <c r="AA23" s="46">
        <f>S20</f>
        <v>8588.7099999999991</v>
      </c>
      <c r="AB23" s="9"/>
      <c r="AC23" s="45">
        <f>IF(AA23&gt;0,AA23-AG$4,0)</f>
        <v>-762.29000000000087</v>
      </c>
      <c r="AD23" s="44"/>
      <c r="AE23" s="9" t="str">
        <f>IF(Z23=0,0,IF(AA23&gt;=AG$4,"elected",IF(AA23=0,"excluded","continuing")))</f>
        <v>continuing</v>
      </c>
      <c r="AF23" s="9">
        <f>IF(AE23="elected",AC23,0)</f>
        <v>0</v>
      </c>
      <c r="AG23" s="43">
        <f>IF(AF23=0,0,(IF(AC23&gt;=0,"transfer largest surplus","progress to exclude")))</f>
        <v>0</v>
      </c>
      <c r="AJ23" s="99" t="s">
        <v>41</v>
      </c>
      <c r="AK23" s="98"/>
      <c r="AL23" s="46">
        <f>IF(AL22=1000000,0,AR46)</f>
        <v>9571.98</v>
      </c>
      <c r="AM23" s="9">
        <f>IF(AL23=1000000,0,IF(AM22=0,0,AL23-AL22))</f>
        <v>220.97999999999956</v>
      </c>
      <c r="AN23" s="9">
        <f>IF(AL23=1000000,0,IF(AN22=0,0,AN22+AL23))</f>
        <v>36697.449999999997</v>
      </c>
      <c r="AO23" s="97">
        <f>IF(AN23&gt;AG4,0,IF(AV22&lt;&gt;0,0,IF(AN23&lt;AL24,"Exclude lowest 4 candidates",0)))</f>
        <v>0</v>
      </c>
      <c r="AP23" s="96"/>
      <c r="AQ23" s="95">
        <f>IF(AN23&gt;AG4,0,IF(AT23=4,"Exclude 4",0))</f>
        <v>0</v>
      </c>
      <c r="AR23" s="9">
        <f>IF(AN23&gt;AG$4,0,IF(AM24&gt;AN23,"Exclude - Consider Question 2",0))</f>
        <v>0</v>
      </c>
      <c r="AT23" s="14"/>
      <c r="AW23" s="13"/>
      <c r="AZ23" s="100"/>
      <c r="BA23" s="59" t="s">
        <v>44</v>
      </c>
      <c r="BB23" s="59"/>
      <c r="BC23" s="75">
        <f>IF(BC19&gt;BC12,TRUNC((BC12/BC18),2),0)</f>
        <v>0</v>
      </c>
      <c r="BE23" s="87">
        <f>'[1]Verification of Boxes'!J28</f>
        <v>0</v>
      </c>
      <c r="BF23" s="86"/>
      <c r="BG23" s="45">
        <f>IF(BC$23&gt;0,BF23*BC$23,BF23*BC$29)</f>
        <v>0</v>
      </c>
      <c r="BH23" s="94"/>
      <c r="BI23" s="9">
        <f>IF(A29&lt;&gt;0,A29,0)</f>
        <v>0</v>
      </c>
      <c r="BJ23" s="9">
        <f>IF(C29=0,0,IF(S29=0,"Excluded",0))</f>
        <v>0</v>
      </c>
      <c r="BM23" s="59"/>
      <c r="BN23" s="9">
        <f>IF(A26&lt;&gt;0,A26,0)</f>
        <v>0</v>
      </c>
      <c r="BO23" s="83">
        <f>IF(AA29&gt;=$M$3,"Elected",AA29)</f>
        <v>0</v>
      </c>
      <c r="BP23" s="82"/>
      <c r="BR23" s="81">
        <f>'[1]Verification of Boxes'!J25</f>
        <v>0</v>
      </c>
      <c r="BS23" s="86"/>
      <c r="BT23" s="9">
        <f>BS23*BT$6</f>
        <v>0</v>
      </c>
      <c r="BU23" s="86"/>
      <c r="BV23" s="9">
        <f>BU23*BV$6</f>
        <v>0</v>
      </c>
      <c r="BW23" s="86"/>
      <c r="BX23" s="9">
        <f>BW23*BX$6</f>
        <v>0</v>
      </c>
      <c r="BY23" s="86"/>
      <c r="BZ23" s="9">
        <f>BY23*BZ$6</f>
        <v>0</v>
      </c>
      <c r="CA23" s="86"/>
      <c r="CB23" s="9">
        <f>CA23*CB$6</f>
        <v>0</v>
      </c>
      <c r="CC23" s="86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76">
        <f>IF('[1]Stage 8'!A24&lt;&gt;0,'[1]Stage 8'!A24,IF(U24&gt;=$M$3,"Elected",IF(BP21&lt;&gt;0,"Excluded",0)))</f>
        <v>0</v>
      </c>
      <c r="B24" s="73">
        <f>'[1]Stage 8'!B24</f>
        <v>0</v>
      </c>
      <c r="C24" s="77">
        <f>'[1]Verification of Boxes'!J23</f>
        <v>0</v>
      </c>
      <c r="D24" s="76">
        <f>'[1]Verification of Boxes'!K23</f>
        <v>0</v>
      </c>
      <c r="E24" s="70">
        <f>'[1]Verification of Boxes'!L23</f>
        <v>0</v>
      </c>
      <c r="F24" s="63">
        <f>'[1]Stage 2'!F24</f>
        <v>0</v>
      </c>
      <c r="G24" s="52">
        <f>'[1]Stage 2'!G24</f>
        <v>0</v>
      </c>
      <c r="H24" s="63">
        <f>'[1]Stage 3'!H24</f>
        <v>0</v>
      </c>
      <c r="I24" s="52">
        <f>'[1]Stage 3'!I24</f>
        <v>0</v>
      </c>
      <c r="J24" s="63">
        <f>'[1]Stage 4'!J24</f>
        <v>0</v>
      </c>
      <c r="K24" s="52">
        <f>'[1]Stage 4'!K24</f>
        <v>0</v>
      </c>
      <c r="L24" s="63">
        <f>'[1]Stage 5'!L24</f>
        <v>0</v>
      </c>
      <c r="M24" s="52">
        <f>'[1]Stage 5'!M24</f>
        <v>0</v>
      </c>
      <c r="N24" s="63">
        <f>'[1]Stage 6'!N24</f>
        <v>0</v>
      </c>
      <c r="O24" s="52">
        <f>'[1]Stage 6'!O24</f>
        <v>0</v>
      </c>
      <c r="P24" s="63">
        <f>'[1]Stage 7'!P24</f>
        <v>0</v>
      </c>
      <c r="Q24" s="52">
        <f>'[1]Stage 7'!Q24</f>
        <v>0</v>
      </c>
      <c r="R24" s="63">
        <f>'[1]Stage 8'!R24</f>
        <v>0</v>
      </c>
      <c r="S24" s="52">
        <f>'[1]Stage 8'!S24</f>
        <v>0</v>
      </c>
      <c r="T24" s="63">
        <f>IF($C24&lt;&gt;0,$BK62,0)</f>
        <v>0</v>
      </c>
      <c r="U24" s="69">
        <f>IF(T$8=0,0,S24+T24)</f>
        <v>0</v>
      </c>
      <c r="V24" s="68"/>
      <c r="W24" s="67">
        <f>IF(V$8=0,0,U24+V24)</f>
        <v>0</v>
      </c>
      <c r="Z24" s="47" t="str">
        <f>'[1]Verification of Boxes'!J20</f>
        <v>O'DOWD, John</v>
      </c>
      <c r="AA24" s="46">
        <f>S21</f>
        <v>9351</v>
      </c>
      <c r="AB24" s="9"/>
      <c r="AC24" s="45">
        <f>IF(AA24&gt;0,AA24-AG$4,0)</f>
        <v>0</v>
      </c>
      <c r="AD24" s="44"/>
      <c r="AE24" s="9" t="str">
        <f>IF(Z24=0,0,IF(AA24&gt;=AG$4,"elected",IF(AA24=0,"excluded","continuing")))</f>
        <v>elected</v>
      </c>
      <c r="AF24" s="9">
        <f>IF(AE24="elected",AC24,0)</f>
        <v>0</v>
      </c>
      <c r="AG24" s="43">
        <f>IF(AF24=0,0,(IF(AC24&gt;=0,"transfer largest surplus","progress to exclude")))</f>
        <v>0</v>
      </c>
      <c r="AJ24" s="99" t="s">
        <v>41</v>
      </c>
      <c r="AK24" s="98"/>
      <c r="AL24" s="46">
        <f>IF(AR46=1000000,0,AU46)</f>
        <v>1000000.0000000001</v>
      </c>
      <c r="AM24" s="9">
        <f>IF(AL24=1000000,0,IF(AM23=0,0,AL24-AL23))</f>
        <v>0</v>
      </c>
      <c r="AN24" s="9">
        <f>IF(AL24=1000000,0,IF(AN23=0,0,AN23+AL24))</f>
        <v>0</v>
      </c>
      <c r="AO24" s="97">
        <f>IF(AN24&gt;AG4,0,IF(AV23&lt;&gt;0,0,IF(AN24&lt;AL25,"Exclude lowest 5 candidates",0)))</f>
        <v>0</v>
      </c>
      <c r="AP24" s="96"/>
      <c r="AQ24" s="95">
        <f>IF(AN24&gt;AG4,0,IF(AT24=5,"Exclude 5",0))</f>
        <v>0</v>
      </c>
      <c r="AR24" s="9">
        <f>IF(AN24&gt;AG$4,0,IF(AM25&gt;AN24,"Exclude - Consider Question 2",0))</f>
        <v>0</v>
      </c>
      <c r="AT24" s="12"/>
      <c r="AU24" s="88"/>
      <c r="AV24" s="88"/>
      <c r="AW24" s="11"/>
      <c r="AZ24" t="s">
        <v>43</v>
      </c>
      <c r="BA24" s="59" t="s">
        <v>42</v>
      </c>
      <c r="BB24" s="59"/>
      <c r="BC24" s="48">
        <f>IF(BC19&gt;BC12,BC18*BC23,0)</f>
        <v>0</v>
      </c>
      <c r="BE24" s="87">
        <f>'[1]Verification of Boxes'!J29</f>
        <v>0</v>
      </c>
      <c r="BF24" s="86"/>
      <c r="BG24" s="45">
        <f>IF(BC$23&gt;0,BF24*BC$23,BF24*BC$29)</f>
        <v>0</v>
      </c>
      <c r="BH24" s="94"/>
      <c r="BI24" s="9">
        <f>IF(A30&lt;&gt;0,A30,0)</f>
        <v>0</v>
      </c>
      <c r="BJ24" s="9">
        <f>IF(C30=0,0,IF(S30=0,"Excluded",0))</f>
        <v>0</v>
      </c>
      <c r="BM24" s="59"/>
      <c r="BN24" s="9">
        <f>IF(A27&lt;&gt;0,A27,0)</f>
        <v>0</v>
      </c>
      <c r="BO24" s="83">
        <f>IF(AA30&gt;=$M$3,"Elected",AA30)</f>
        <v>0</v>
      </c>
      <c r="BP24" s="82"/>
      <c r="BR24" s="81">
        <f>'[1]Verification of Boxes'!J26</f>
        <v>0</v>
      </c>
      <c r="BS24" s="86"/>
      <c r="BT24" s="9">
        <f>BS24*BT$6</f>
        <v>0</v>
      </c>
      <c r="BU24" s="86"/>
      <c r="BV24" s="9">
        <f>BU24*BV$6</f>
        <v>0</v>
      </c>
      <c r="BW24" s="86"/>
      <c r="BX24" s="9">
        <f>BW24*BX$6</f>
        <v>0</v>
      </c>
      <c r="BY24" s="86"/>
      <c r="BZ24" s="9">
        <f>BY24*BZ$6</f>
        <v>0</v>
      </c>
      <c r="CA24" s="86"/>
      <c r="CB24" s="9">
        <f>CA24*CB$6</f>
        <v>0</v>
      </c>
      <c r="CC24" s="86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76">
        <f>IF('[1]Stage 8'!A25&lt;&gt;0,'[1]Stage 8'!A25,IF(U25&gt;=$M$3,"Elected",IF(BP22&lt;&gt;0,"Excluded",0)))</f>
        <v>0</v>
      </c>
      <c r="B25" s="73">
        <f>'[1]Stage 8'!B25</f>
        <v>0</v>
      </c>
      <c r="C25" s="77">
        <f>'[1]Verification of Boxes'!J24</f>
        <v>0</v>
      </c>
      <c r="D25" s="76">
        <f>'[1]Verification of Boxes'!K24</f>
        <v>0</v>
      </c>
      <c r="E25" s="70">
        <f>'[1]Verification of Boxes'!L24</f>
        <v>0</v>
      </c>
      <c r="F25" s="63">
        <f>'[1]Stage 2'!F25</f>
        <v>0</v>
      </c>
      <c r="G25" s="52">
        <f>'[1]Stage 2'!G25</f>
        <v>0</v>
      </c>
      <c r="H25" s="63">
        <f>'[1]Stage 3'!H25</f>
        <v>0</v>
      </c>
      <c r="I25" s="52">
        <f>'[1]Stage 3'!I25</f>
        <v>0</v>
      </c>
      <c r="J25" s="63">
        <f>'[1]Stage 4'!J25</f>
        <v>0</v>
      </c>
      <c r="K25" s="52">
        <f>'[1]Stage 4'!K25</f>
        <v>0</v>
      </c>
      <c r="L25" s="63">
        <f>'[1]Stage 5'!L25</f>
        <v>0</v>
      </c>
      <c r="M25" s="52">
        <f>'[1]Stage 5'!M25</f>
        <v>0</v>
      </c>
      <c r="N25" s="63">
        <f>'[1]Stage 6'!N25</f>
        <v>0</v>
      </c>
      <c r="O25" s="52">
        <f>'[1]Stage 6'!O25</f>
        <v>0</v>
      </c>
      <c r="P25" s="63">
        <f>'[1]Stage 7'!P25</f>
        <v>0</v>
      </c>
      <c r="Q25" s="52">
        <f>'[1]Stage 7'!Q25</f>
        <v>0</v>
      </c>
      <c r="R25" s="63">
        <f>'[1]Stage 8'!R25</f>
        <v>0</v>
      </c>
      <c r="S25" s="52">
        <f>'[1]Stage 8'!S25</f>
        <v>0</v>
      </c>
      <c r="T25" s="63">
        <f>IF($C25&lt;&gt;0,$BK63,0)</f>
        <v>0</v>
      </c>
      <c r="U25" s="69">
        <f>IF(T$8=0,0,S25+T25)</f>
        <v>0</v>
      </c>
      <c r="V25" s="68"/>
      <c r="W25" s="67">
        <f>IF(V$8=0,0,U25+V25)</f>
        <v>0</v>
      </c>
      <c r="Z25" s="47" t="str">
        <f>'[1]Verification of Boxes'!J21</f>
        <v>TENNYSON, Eóin</v>
      </c>
      <c r="AA25" s="46">
        <f>S22</f>
        <v>8964.7800000000007</v>
      </c>
      <c r="AB25" s="9"/>
      <c r="AC25" s="45">
        <f>IF(AA25&gt;0,AA25-AG$4,0)</f>
        <v>-386.21999999999935</v>
      </c>
      <c r="AD25" s="44"/>
      <c r="AE25" s="9" t="str">
        <f>IF(Z25=0,0,IF(AA25&gt;=AG$4,"elected",IF(AA25=0,"excluded","continuing")))</f>
        <v>continuing</v>
      </c>
      <c r="AF25" s="9">
        <f>IF(AE25="elected",AC25,0)</f>
        <v>0</v>
      </c>
      <c r="AG25" s="43">
        <f>IF(AF25=0,0,(IF(AC25&gt;=0,"transfer largest surplus","progress to exclude")))</f>
        <v>0</v>
      </c>
      <c r="AJ25" s="93" t="s">
        <v>41</v>
      </c>
      <c r="AK25" s="92"/>
      <c r="AL25" s="37">
        <f>IF(AL24=1000000,0,AW46)</f>
        <v>0</v>
      </c>
      <c r="AM25" s="34">
        <f>IF(AL25=1000000,0,IF(AM24=0,0,AL25-AL24))</f>
        <v>0</v>
      </c>
      <c r="AN25" s="34">
        <f>IF(AL25=1000000,0,IF(AN24=0,0,AN24+AL25))</f>
        <v>0</v>
      </c>
      <c r="AO25" s="91">
        <f>IF(AN25&gt;AG4,0,IF(AV24&lt;&gt;0,0,IF(AN25&lt;AL26,"CHECK ! Exclude lowest 6 candidates",0)))</f>
        <v>0</v>
      </c>
      <c r="AP25" s="90"/>
      <c r="AQ25" s="89">
        <f>IF(AN25&gt;AG4,0,IF(AT25=6,"CHECK !",0))</f>
        <v>0</v>
      </c>
      <c r="AR25" s="9">
        <f>IF(AN25&gt;AG$4,0,IF(AM26&gt;AN25,"Exclude - Consider Question 2",0))</f>
        <v>0</v>
      </c>
      <c r="AT25" s="88"/>
      <c r="AU25" s="88"/>
      <c r="AV25" s="88"/>
      <c r="AW25" s="11"/>
      <c r="AZ25" t="s">
        <v>40</v>
      </c>
      <c r="BA25" s="59" t="s">
        <v>39</v>
      </c>
      <c r="BB25" s="59"/>
      <c r="BC25" s="48">
        <f>IF(BC19&gt;BC12,BC12-BC24,0)</f>
        <v>0</v>
      </c>
      <c r="BE25" s="87" t="s">
        <v>38</v>
      </c>
      <c r="BF25" s="9">
        <f>SUM(BF5:BF24)</f>
        <v>0</v>
      </c>
      <c r="BG25" s="45">
        <f>SUM(BG5:BG24)</f>
        <v>0</v>
      </c>
      <c r="BM25" s="59"/>
      <c r="BN25" s="9">
        <f>IF(A28&lt;&gt;0,A28,0)</f>
        <v>0</v>
      </c>
      <c r="BO25" s="83">
        <f>IF(AA31&gt;=$M$3,"Elected",AA31)</f>
        <v>0</v>
      </c>
      <c r="BP25" s="82"/>
      <c r="BR25" s="81">
        <f>'[1]Verification of Boxes'!J27</f>
        <v>0</v>
      </c>
      <c r="BS25" s="86"/>
      <c r="BT25" s="9">
        <f>BS25*BT$6</f>
        <v>0</v>
      </c>
      <c r="BU25" s="86"/>
      <c r="BV25" s="9">
        <f>BU25*BV$6</f>
        <v>0</v>
      </c>
      <c r="BW25" s="86"/>
      <c r="BX25" s="9">
        <f>BW25*BX$6</f>
        <v>0</v>
      </c>
      <c r="BY25" s="86"/>
      <c r="BZ25" s="9">
        <f>BY25*BZ$6</f>
        <v>0</v>
      </c>
      <c r="CA25" s="86"/>
      <c r="CB25" s="9">
        <f>CA25*CB$6</f>
        <v>0</v>
      </c>
      <c r="CC25" s="86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76">
        <f>IF('[1]Stage 8'!A26&lt;&gt;0,'[1]Stage 8'!A26,IF(U26&gt;=$M$3,"Elected",IF(BP23&lt;&gt;0,"Excluded",0)))</f>
        <v>0</v>
      </c>
      <c r="B26" s="73">
        <f>'[1]Stage 8'!B26</f>
        <v>0</v>
      </c>
      <c r="C26" s="77">
        <f>'[1]Verification of Boxes'!J25</f>
        <v>0</v>
      </c>
      <c r="D26" s="76">
        <f>'[1]Verification of Boxes'!K25</f>
        <v>0</v>
      </c>
      <c r="E26" s="70">
        <f>'[1]Verification of Boxes'!L25</f>
        <v>0</v>
      </c>
      <c r="F26" s="63">
        <f>'[1]Stage 2'!F26</f>
        <v>0</v>
      </c>
      <c r="G26" s="52">
        <f>'[1]Stage 2'!G26</f>
        <v>0</v>
      </c>
      <c r="H26" s="63">
        <f>'[1]Stage 3'!H26</f>
        <v>0</v>
      </c>
      <c r="I26" s="52">
        <f>'[1]Stage 3'!I26</f>
        <v>0</v>
      </c>
      <c r="J26" s="63">
        <f>'[1]Stage 4'!J26</f>
        <v>0</v>
      </c>
      <c r="K26" s="52">
        <f>'[1]Stage 4'!K26</f>
        <v>0</v>
      </c>
      <c r="L26" s="63">
        <f>'[1]Stage 5'!L26</f>
        <v>0</v>
      </c>
      <c r="M26" s="52">
        <f>'[1]Stage 5'!M26</f>
        <v>0</v>
      </c>
      <c r="N26" s="63">
        <f>'[1]Stage 6'!N26</f>
        <v>0</v>
      </c>
      <c r="O26" s="52">
        <f>'[1]Stage 6'!O26</f>
        <v>0</v>
      </c>
      <c r="P26" s="63">
        <f>'[1]Stage 7'!P26</f>
        <v>0</v>
      </c>
      <c r="Q26" s="52">
        <f>'[1]Stage 7'!Q26</f>
        <v>0</v>
      </c>
      <c r="R26" s="63">
        <f>'[1]Stage 8'!R26</f>
        <v>0</v>
      </c>
      <c r="S26" s="52">
        <f>'[1]Stage 8'!S26</f>
        <v>0</v>
      </c>
      <c r="T26" s="63">
        <f>IF($C26&lt;&gt;0,$BK64,0)</f>
        <v>0</v>
      </c>
      <c r="U26" s="69">
        <f>IF(T$8=0,0,S26+T26)</f>
        <v>0</v>
      </c>
      <c r="V26" s="68"/>
      <c r="W26" s="67">
        <f>IF(V$8=0,0,U26+V26)</f>
        <v>0</v>
      </c>
      <c r="Z26" s="47">
        <f>'[1]Verification of Boxes'!J22</f>
        <v>0</v>
      </c>
      <c r="AA26" s="46">
        <f>S23</f>
        <v>0</v>
      </c>
      <c r="AB26" s="9"/>
      <c r="AC26" s="45">
        <f>IF(AA26&gt;0,AA26-AG$4,0)</f>
        <v>0</v>
      </c>
      <c r="AD26" s="44"/>
      <c r="AE26" s="9">
        <f>IF(Z26=0,0,IF(AA26&gt;=AG$4,"elected",IF(AA26=0,"excluded","continuing")))</f>
        <v>0</v>
      </c>
      <c r="AF26" s="9">
        <f>IF(AE26="elected",AC26,0)</f>
        <v>0</v>
      </c>
      <c r="AG26" s="43">
        <f>IF(AF26=0,0,(IF(AC26&gt;=0,"transfer largest surplus","progress to exclude")))</f>
        <v>0</v>
      </c>
      <c r="AT26" s="9"/>
      <c r="AU26" s="74"/>
      <c r="AV26" s="74">
        <f>SUM(AV27:AV32)</f>
        <v>6</v>
      </c>
      <c r="AW26" s="74"/>
      <c r="BA26" s="59"/>
      <c r="BB26" s="59"/>
      <c r="BC26" s="15"/>
      <c r="BE26" s="87" t="s">
        <v>37</v>
      </c>
      <c r="BF26" s="86"/>
      <c r="BG26" s="45">
        <f>IF(AT5="T",BC25+BC31,0)</f>
        <v>0</v>
      </c>
      <c r="BM26" s="59"/>
      <c r="BN26" s="9">
        <f>IF(A29&lt;&gt;0,A29,0)</f>
        <v>0</v>
      </c>
      <c r="BO26" s="83">
        <f>IF(AA32&gt;=$M$3,"Elected",AA32)</f>
        <v>0</v>
      </c>
      <c r="BP26" s="82"/>
      <c r="BR26" s="81">
        <f>'[1]Verification of Boxes'!J28</f>
        <v>0</v>
      </c>
      <c r="BS26" s="86"/>
      <c r="BT26" s="9">
        <f>BS26*BT$6</f>
        <v>0</v>
      </c>
      <c r="BU26" s="86"/>
      <c r="BV26" s="9">
        <f>BU26*BV$6</f>
        <v>0</v>
      </c>
      <c r="BW26" s="86"/>
      <c r="BX26" s="9">
        <f>BW26*BX$6</f>
        <v>0</v>
      </c>
      <c r="BY26" s="86"/>
      <c r="BZ26" s="9">
        <f>BY26*BZ$6</f>
        <v>0</v>
      </c>
      <c r="CA26" s="86"/>
      <c r="CB26" s="9">
        <f>CA26*CB$6</f>
        <v>0</v>
      </c>
      <c r="CC26" s="86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76">
        <f>IF('[1]Stage 8'!A27&lt;&gt;0,'[1]Stage 8'!A27,IF(U27&gt;=$M$3,"Elected",IF(BP24&lt;&gt;0,"Excluded",0)))</f>
        <v>0</v>
      </c>
      <c r="B27" s="73">
        <f>'[1]Stage 8'!B27</f>
        <v>0</v>
      </c>
      <c r="C27" s="77">
        <f>'[1]Verification of Boxes'!J26</f>
        <v>0</v>
      </c>
      <c r="D27" s="76">
        <f>'[1]Verification of Boxes'!K26</f>
        <v>0</v>
      </c>
      <c r="E27" s="70">
        <f>'[1]Verification of Boxes'!L26</f>
        <v>0</v>
      </c>
      <c r="F27" s="63">
        <f>'[1]Stage 2'!F27</f>
        <v>0</v>
      </c>
      <c r="G27" s="52">
        <f>'[1]Stage 2'!G27</f>
        <v>0</v>
      </c>
      <c r="H27" s="63">
        <f>'[1]Stage 3'!H27</f>
        <v>0</v>
      </c>
      <c r="I27" s="52">
        <f>'[1]Stage 3'!I27</f>
        <v>0</v>
      </c>
      <c r="J27" s="63">
        <f>'[1]Stage 4'!J27</f>
        <v>0</v>
      </c>
      <c r="K27" s="52">
        <f>'[1]Stage 4'!K27</f>
        <v>0</v>
      </c>
      <c r="L27" s="63">
        <f>'[1]Stage 5'!L27</f>
        <v>0</v>
      </c>
      <c r="M27" s="52">
        <f>'[1]Stage 5'!M27</f>
        <v>0</v>
      </c>
      <c r="N27" s="63">
        <f>'[1]Stage 6'!N27</f>
        <v>0</v>
      </c>
      <c r="O27" s="52">
        <f>'[1]Stage 6'!O27</f>
        <v>0</v>
      </c>
      <c r="P27" s="63">
        <f>'[1]Stage 7'!P27</f>
        <v>0</v>
      </c>
      <c r="Q27" s="52">
        <f>'[1]Stage 7'!Q27</f>
        <v>0</v>
      </c>
      <c r="R27" s="63">
        <f>'[1]Stage 8'!R27</f>
        <v>0</v>
      </c>
      <c r="S27" s="52">
        <f>'[1]Stage 8'!S27</f>
        <v>0</v>
      </c>
      <c r="T27" s="63">
        <f>IF($C27&lt;&gt;0,$BK65,0)</f>
        <v>0</v>
      </c>
      <c r="U27" s="69">
        <f>IF(T$8=0,0,S27+T27)</f>
        <v>0</v>
      </c>
      <c r="V27" s="68"/>
      <c r="W27" s="67">
        <f>IF(V$8=0,0,U27+V27)</f>
        <v>0</v>
      </c>
      <c r="Z27" s="47">
        <f>'[1]Verification of Boxes'!J23</f>
        <v>0</v>
      </c>
      <c r="AA27" s="46">
        <f>S24</f>
        <v>0</v>
      </c>
      <c r="AB27" s="9"/>
      <c r="AC27" s="45">
        <f>IF(AA27&gt;0,AA27-AG$4,0)</f>
        <v>0</v>
      </c>
      <c r="AD27" s="44"/>
      <c r="AE27" s="9">
        <f>IF(Z27=0,0,IF(AA27&gt;=AG$4,"elected",IF(AA27=0,"excluded","continuing")))</f>
        <v>0</v>
      </c>
      <c r="AF27" s="9">
        <f>IF(AE27="elected",AC27,0)</f>
        <v>0</v>
      </c>
      <c r="AG27" s="43">
        <f>IF(AF27=0,0,(IF(AC27&gt;=0,"transfer largest surplus","progress to exclude")))</f>
        <v>0</v>
      </c>
      <c r="AJ27" s="85"/>
      <c r="AK27" s="85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36</v>
      </c>
      <c r="BA27" s="59"/>
      <c r="BB27" s="59"/>
      <c r="BC27" s="15"/>
      <c r="BE27" s="84" t="s">
        <v>35</v>
      </c>
      <c r="BF27" s="34">
        <f>BF25+BF26</f>
        <v>0</v>
      </c>
      <c r="BG27" s="36">
        <f>SUM(BG25:BG26)</f>
        <v>0</v>
      </c>
      <c r="BM27" s="59"/>
      <c r="BN27" s="9">
        <f>IF(A30&lt;&gt;0,A30,0)</f>
        <v>0</v>
      </c>
      <c r="BO27" s="83">
        <f>IF(AA33&gt;=$M$3,"Elected",AA33)</f>
        <v>0</v>
      </c>
      <c r="BP27" s="82"/>
      <c r="BR27" s="81">
        <f>'[1]Verification of Boxes'!J29</f>
        <v>0</v>
      </c>
      <c r="BS27" s="80"/>
      <c r="BT27" s="9">
        <f>BS27*BT$6</f>
        <v>0</v>
      </c>
      <c r="BU27" s="80"/>
      <c r="BV27" s="9">
        <f>BU27*BV$6</f>
        <v>0</v>
      </c>
      <c r="BW27" s="80"/>
      <c r="BX27" s="9">
        <f>BW27*BX$6</f>
        <v>0</v>
      </c>
      <c r="BY27" s="80"/>
      <c r="BZ27" s="9">
        <f>BY27*BZ$6</f>
        <v>0</v>
      </c>
      <c r="CA27" s="80"/>
      <c r="CB27" s="9">
        <f>CA27*CB$6</f>
        <v>0</v>
      </c>
      <c r="CC27" s="80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76">
        <f>IF('[1]Stage 8'!A28&lt;&gt;0,'[1]Stage 8'!A28,IF(U28&gt;=$M$3,"Elected",IF(BP25&lt;&gt;0,"Excluded",0)))</f>
        <v>0</v>
      </c>
      <c r="B28" s="73">
        <f>'[1]Stage 8'!B28</f>
        <v>0</v>
      </c>
      <c r="C28" s="77">
        <f>'[1]Verification of Boxes'!J27</f>
        <v>0</v>
      </c>
      <c r="D28" s="76">
        <f>'[1]Verification of Boxes'!K27</f>
        <v>0</v>
      </c>
      <c r="E28" s="70">
        <f>'[1]Verification of Boxes'!L27</f>
        <v>0</v>
      </c>
      <c r="F28" s="63">
        <f>'[1]Stage 2'!F28</f>
        <v>0</v>
      </c>
      <c r="G28" s="52">
        <f>'[1]Stage 2'!G28</f>
        <v>0</v>
      </c>
      <c r="H28" s="63">
        <f>'[1]Stage 3'!H28</f>
        <v>0</v>
      </c>
      <c r="I28" s="52">
        <f>'[1]Stage 3'!I28</f>
        <v>0</v>
      </c>
      <c r="J28" s="63">
        <f>'[1]Stage 4'!J28</f>
        <v>0</v>
      </c>
      <c r="K28" s="52">
        <f>'[1]Stage 4'!K28</f>
        <v>0</v>
      </c>
      <c r="L28" s="63">
        <f>'[1]Stage 5'!L28</f>
        <v>0</v>
      </c>
      <c r="M28" s="52">
        <f>'[1]Stage 5'!M28</f>
        <v>0</v>
      </c>
      <c r="N28" s="63">
        <f>'[1]Stage 6'!N28</f>
        <v>0</v>
      </c>
      <c r="O28" s="52">
        <f>'[1]Stage 6'!O28</f>
        <v>0</v>
      </c>
      <c r="P28" s="63">
        <f>'[1]Stage 7'!P28</f>
        <v>0</v>
      </c>
      <c r="Q28" s="52">
        <f>'[1]Stage 7'!Q28</f>
        <v>0</v>
      </c>
      <c r="R28" s="63">
        <f>'[1]Stage 8'!R28</f>
        <v>0</v>
      </c>
      <c r="S28" s="52">
        <f>'[1]Stage 8'!S28</f>
        <v>0</v>
      </c>
      <c r="T28" s="63">
        <f>IF($C28&lt;&gt;0,$BK66,0)</f>
        <v>0</v>
      </c>
      <c r="U28" s="69">
        <f>IF(T$8=0,0,S28+T28)</f>
        <v>0</v>
      </c>
      <c r="V28" s="68"/>
      <c r="W28" s="67">
        <f>IF(V$8=0,0,U28+V28)</f>
        <v>0</v>
      </c>
      <c r="Z28" s="47">
        <f>'[1]Verification of Boxes'!J24</f>
        <v>0</v>
      </c>
      <c r="AA28" s="46">
        <f>S25</f>
        <v>0</v>
      </c>
      <c r="AB28" s="9"/>
      <c r="AC28" s="45">
        <f>IF(AA28&gt;0,AA28-AG$4,0)</f>
        <v>0</v>
      </c>
      <c r="AD28" s="44"/>
      <c r="AE28" s="9">
        <f>IF(Z28=0,0,IF(AA28&gt;=AG$4,"elected",IF(AA28=0,"excluded","continuing")))</f>
        <v>0</v>
      </c>
      <c r="AF28" s="9">
        <f>IF(AE28="elected",AC28,0)</f>
        <v>0</v>
      </c>
      <c r="AG28" s="43">
        <f>IF(AF28=0,0,(IF(AC28&gt;=0,"transfer largest surplus","progress to exclude")))</f>
        <v>0</v>
      </c>
      <c r="AL28" s="57" t="s">
        <v>34</v>
      </c>
      <c r="AM28" s="56"/>
      <c r="AN28" s="56"/>
      <c r="AO28" s="56"/>
      <c r="AP28" s="56"/>
      <c r="AQ28" s="55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59"/>
      <c r="BB28" s="59"/>
      <c r="BC28" s="15"/>
      <c r="BR28" s="10" t="s">
        <v>1</v>
      </c>
      <c r="BS28" s="78"/>
      <c r="BT28" s="79">
        <f>BS28*BT$6</f>
        <v>0</v>
      </c>
      <c r="BU28" s="78"/>
      <c r="BV28" s="79">
        <f>BU28*BV$6</f>
        <v>0</v>
      </c>
      <c r="BW28" s="78"/>
      <c r="BX28" s="79">
        <f>BW28*BX$6</f>
        <v>0</v>
      </c>
      <c r="BY28" s="78"/>
      <c r="BZ28" s="79">
        <f>BY28*BZ$6</f>
        <v>0</v>
      </c>
      <c r="CA28" s="78"/>
      <c r="CB28" s="79">
        <f>CA28*CB$6</f>
        <v>0</v>
      </c>
      <c r="CC28" s="78"/>
      <c r="CD28" s="44">
        <f>CC28*CD$6</f>
        <v>0</v>
      </c>
      <c r="CE28" s="9">
        <f>BT28+BV28+BX28+BZ28+CB28+CD28</f>
        <v>0</v>
      </c>
    </row>
    <row r="29" spans="1:83" ht="13.5" thickBot="1" x14ac:dyDescent="0.25">
      <c r="A29" s="76">
        <f>IF('[1]Stage 8'!A29&lt;&gt;0,'[1]Stage 8'!A29,IF(U29&gt;=$M$3,"Elected",IF(BP26&lt;&gt;0,"Excluded",0)))</f>
        <v>0</v>
      </c>
      <c r="B29" s="73">
        <f>'[1]Stage 8'!B29</f>
        <v>0</v>
      </c>
      <c r="C29" s="77">
        <f>'[1]Verification of Boxes'!J28</f>
        <v>0</v>
      </c>
      <c r="D29" s="76">
        <f>'[1]Verification of Boxes'!K28</f>
        <v>0</v>
      </c>
      <c r="E29" s="70">
        <f>'[1]Verification of Boxes'!L28</f>
        <v>0</v>
      </c>
      <c r="F29" s="63">
        <f>'[1]Stage 2'!F29</f>
        <v>0</v>
      </c>
      <c r="G29" s="52">
        <f>'[1]Stage 2'!G29</f>
        <v>0</v>
      </c>
      <c r="H29" s="63">
        <f>'[1]Stage 3'!H29</f>
        <v>0</v>
      </c>
      <c r="I29" s="52">
        <f>'[1]Stage 3'!I29</f>
        <v>0</v>
      </c>
      <c r="J29" s="63">
        <f>'[1]Stage 4'!J29</f>
        <v>0</v>
      </c>
      <c r="K29" s="52">
        <f>'[1]Stage 4'!K29</f>
        <v>0</v>
      </c>
      <c r="L29" s="63">
        <f>'[1]Stage 5'!L29</f>
        <v>0</v>
      </c>
      <c r="M29" s="52">
        <f>'[1]Stage 5'!M29</f>
        <v>0</v>
      </c>
      <c r="N29" s="63">
        <f>'[1]Stage 6'!N29</f>
        <v>0</v>
      </c>
      <c r="O29" s="52">
        <f>'[1]Stage 6'!O29</f>
        <v>0</v>
      </c>
      <c r="P29" s="63">
        <f>'[1]Stage 7'!P29</f>
        <v>0</v>
      </c>
      <c r="Q29" s="52">
        <f>'[1]Stage 7'!Q29</f>
        <v>0</v>
      </c>
      <c r="R29" s="63">
        <f>'[1]Stage 8'!R29</f>
        <v>0</v>
      </c>
      <c r="S29" s="52">
        <f>'[1]Stage 8'!S29</f>
        <v>0</v>
      </c>
      <c r="T29" s="63">
        <f>IF($C29&lt;&gt;0,$BK67,0)</f>
        <v>0</v>
      </c>
      <c r="U29" s="69">
        <f>IF(T$8=0,0,S29+T29)</f>
        <v>0</v>
      </c>
      <c r="V29" s="68"/>
      <c r="W29" s="67">
        <f>IF(V$8=0,0,U29+V29)</f>
        <v>0</v>
      </c>
      <c r="Z29" s="47">
        <f>'[1]Verification of Boxes'!J25</f>
        <v>0</v>
      </c>
      <c r="AA29" s="46">
        <f>S26</f>
        <v>0</v>
      </c>
      <c r="AB29" s="9"/>
      <c r="AC29" s="45">
        <f>IF(AA29&gt;0,AA29-AG$4,0)</f>
        <v>0</v>
      </c>
      <c r="AD29" s="44"/>
      <c r="AE29" s="9">
        <f>IF(Z29=0,0,IF(AA29&gt;=AG$4,"elected",IF(AA29=0,"excluded","continuing")))</f>
        <v>0</v>
      </c>
      <c r="AF29" s="9">
        <f>IF(AE29="elected",AC29,0)</f>
        <v>0</v>
      </c>
      <c r="AG29" s="43">
        <f>IF(AF29=0,0,(IF(AC29&gt;=0,"transfer largest surplus","progress to exclude")))</f>
        <v>0</v>
      </c>
      <c r="AL29" s="41"/>
      <c r="AM29" s="40"/>
      <c r="AN29" s="40"/>
      <c r="AO29" s="40"/>
      <c r="AP29" s="40"/>
      <c r="AQ29" s="39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33</v>
      </c>
      <c r="BA29" s="59" t="s">
        <v>32</v>
      </c>
      <c r="BB29" s="59"/>
      <c r="BC29" s="75">
        <f>IF(BC19&lt;=BC12,BC14,0)</f>
        <v>0</v>
      </c>
      <c r="BE29" s="59" t="s">
        <v>31</v>
      </c>
      <c r="BF29">
        <f>BC13</f>
        <v>0</v>
      </c>
      <c r="BR29" s="9" t="s">
        <v>30</v>
      </c>
      <c r="BS29" s="74">
        <f>SUM(BS8:BS28)</f>
        <v>0</v>
      </c>
      <c r="BT29" s="9">
        <f>BS29*BT$6</f>
        <v>0</v>
      </c>
      <c r="BU29" s="74">
        <f>SUM(BU8:BU28)</f>
        <v>0</v>
      </c>
      <c r="BV29" s="9">
        <f>BU29*BV$6</f>
        <v>0</v>
      </c>
      <c r="BW29" s="74">
        <f>SUM(BW8:BW28)</f>
        <v>0</v>
      </c>
      <c r="BX29" s="9">
        <f>BW29*BX$6</f>
        <v>0</v>
      </c>
      <c r="BY29" s="74">
        <f>SUM(BY8:BY28)</f>
        <v>0</v>
      </c>
      <c r="BZ29" s="9">
        <f>BY29*BZ$6</f>
        <v>0</v>
      </c>
      <c r="CA29" s="74">
        <f>SUM(CA8:CA28)</f>
        <v>0</v>
      </c>
      <c r="CB29" s="9">
        <f>CA29*CB$6</f>
        <v>0</v>
      </c>
      <c r="CC29" s="74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71">
        <f>IF('[1]Stage 8'!A30&lt;&gt;0,'[1]Stage 8'!A30,IF(U30&gt;=$M$3,"Elected",IF(BP27&lt;&gt;0,"Excluded",0)))</f>
        <v>0</v>
      </c>
      <c r="B30" s="73">
        <f>'[1]Stage 8'!B30</f>
        <v>0</v>
      </c>
      <c r="C30" s="72">
        <f>'[1]Verification of Boxes'!J29</f>
        <v>0</v>
      </c>
      <c r="D30" s="71">
        <f>'[1]Verification of Boxes'!K29</f>
        <v>0</v>
      </c>
      <c r="E30" s="70">
        <f>'[1]Verification of Boxes'!L29</f>
        <v>0</v>
      </c>
      <c r="F30" s="63">
        <f>'[1]Stage 2'!F30</f>
        <v>0</v>
      </c>
      <c r="G30" s="52">
        <f>'[1]Stage 2'!G30</f>
        <v>0</v>
      </c>
      <c r="H30" s="63">
        <f>'[1]Stage 3'!H30</f>
        <v>0</v>
      </c>
      <c r="I30" s="52">
        <f>'[1]Stage 3'!I30</f>
        <v>0</v>
      </c>
      <c r="J30" s="63">
        <f>'[1]Stage 4'!J30</f>
        <v>0</v>
      </c>
      <c r="K30" s="52">
        <f>'[1]Stage 4'!K30</f>
        <v>0</v>
      </c>
      <c r="L30" s="63">
        <f>'[1]Stage 5'!L30</f>
        <v>0</v>
      </c>
      <c r="M30" s="52">
        <f>'[1]Stage 5'!M30</f>
        <v>0</v>
      </c>
      <c r="N30" s="63">
        <f>'[1]Stage 6'!N30</f>
        <v>0</v>
      </c>
      <c r="O30" s="52">
        <f>'[1]Stage 6'!O30</f>
        <v>0</v>
      </c>
      <c r="P30" s="63">
        <f>'[1]Stage 7'!P30</f>
        <v>0</v>
      </c>
      <c r="Q30" s="52">
        <f>'[1]Stage 7'!Q30</f>
        <v>0</v>
      </c>
      <c r="R30" s="63">
        <f>'[1]Stage 8'!R30</f>
        <v>0</v>
      </c>
      <c r="S30" s="52">
        <f>'[1]Stage 8'!S30</f>
        <v>0</v>
      </c>
      <c r="T30" s="63">
        <f>IF($C30&lt;&gt;0,$BK68,0)</f>
        <v>0</v>
      </c>
      <c r="U30" s="69">
        <f>IF(T$8=0,0,S30+T30)</f>
        <v>0</v>
      </c>
      <c r="V30" s="68"/>
      <c r="W30" s="67">
        <f>IF(V$8=0,0,U30+V30)</f>
        <v>0</v>
      </c>
      <c r="Z30" s="47">
        <f>'[1]Verification of Boxes'!J26</f>
        <v>0</v>
      </c>
      <c r="AA30" s="46">
        <f>S27</f>
        <v>0</v>
      </c>
      <c r="AB30" s="9"/>
      <c r="AC30" s="45">
        <f>IF(AA30&gt;0,AA30-AG$4,0)</f>
        <v>0</v>
      </c>
      <c r="AD30" s="44"/>
      <c r="AE30" s="9">
        <f>IF(Z30=0,0,IF(AA30&gt;=AG$4,"elected",IF(AA30=0,"excluded","continuing")))</f>
        <v>0</v>
      </c>
      <c r="AF30" s="9">
        <f>IF(AE30="elected",AC30,0)</f>
        <v>0</v>
      </c>
      <c r="AG30" s="43">
        <f>IF(AF30=0,0,(IF(AC30&gt;=0,"transfer largest surplus","progress to exclude")))</f>
        <v>0</v>
      </c>
      <c r="AL30" s="66"/>
      <c r="AM30" s="66"/>
      <c r="AN30" s="66"/>
      <c r="AO30" s="66"/>
      <c r="AP30" s="66"/>
      <c r="AQ30" s="66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59"/>
      <c r="BB30" s="59"/>
      <c r="BC30" s="15"/>
      <c r="BF30" s="42" t="str">
        <f>IF(BF29-BF27=0,"NONE", BF29-BF27)</f>
        <v>NONE</v>
      </c>
      <c r="BG30" s="42"/>
      <c r="BI30" s="57" t="s">
        <v>24</v>
      </c>
      <c r="BJ30" s="56"/>
      <c r="BK30" s="55"/>
      <c r="BX30" s="65" t="str">
        <f>IF(BW31=BW69,"Calculations OK","Check Count for Error")</f>
        <v>Calculations OK</v>
      </c>
      <c r="BY30" s="65"/>
    </row>
    <row r="31" spans="1:83" ht="16.5" customHeight="1" thickBot="1" x14ac:dyDescent="0.25">
      <c r="D31" s="27" t="s">
        <v>29</v>
      </c>
      <c r="E31" s="64"/>
      <c r="F31" s="63">
        <f>'[1]Stage 2'!F31</f>
        <v>194</v>
      </c>
      <c r="G31" s="52">
        <f>'[1]Stage 2'!G31</f>
        <v>194</v>
      </c>
      <c r="H31" s="63">
        <f>'[1]Stage 3'!H31</f>
        <v>54</v>
      </c>
      <c r="I31" s="52">
        <f>'[1]Stage 3'!I31</f>
        <v>248</v>
      </c>
      <c r="J31" s="63">
        <f>'[1]Stage 4'!J31</f>
        <v>280</v>
      </c>
      <c r="K31" s="52">
        <f>'[1]Stage 4'!K31</f>
        <v>528</v>
      </c>
      <c r="L31" s="63">
        <f>'[1]Stage 5'!L31</f>
        <v>282</v>
      </c>
      <c r="M31" s="52">
        <f>'[1]Stage 5'!M31</f>
        <v>810</v>
      </c>
      <c r="N31" s="63">
        <f>'[1]Stage 6'!N31</f>
        <v>39</v>
      </c>
      <c r="O31" s="52">
        <f>'[1]Stage 6'!O31</f>
        <v>849</v>
      </c>
      <c r="P31" s="63">
        <f>'[1]Stage 7'!P31</f>
        <v>9.5300000000000864</v>
      </c>
      <c r="Q31" s="52">
        <f>'[1]Stage 7'!Q31</f>
        <v>858.53000000000009</v>
      </c>
      <c r="R31" s="63">
        <f>'[1]Stage 8'!R31</f>
        <v>64</v>
      </c>
      <c r="S31" s="52">
        <f>'[1]Stage 8'!S31</f>
        <v>922.53000000000009</v>
      </c>
      <c r="T31" s="63">
        <f>$BK69</f>
        <v>0</v>
      </c>
      <c r="U31" s="62">
        <f>IF(T$8=0,0,S31+T31)</f>
        <v>0</v>
      </c>
      <c r="V31" s="61"/>
      <c r="W31" s="60">
        <f>IF(V$8=0,0,U31+V31)</f>
        <v>0</v>
      </c>
      <c r="Z31" s="47">
        <f>'[1]Verification of Boxes'!J27</f>
        <v>0</v>
      </c>
      <c r="AA31" s="46">
        <f>S28</f>
        <v>0</v>
      </c>
      <c r="AB31" s="9"/>
      <c r="AC31" s="45">
        <f>IF(AA31&gt;0,AA31-AG$4,0)</f>
        <v>0</v>
      </c>
      <c r="AD31" s="44"/>
      <c r="AE31" s="9">
        <f>IF(Z31=0,0,IF(AA31&gt;=AG$4,"elected",IF(AA31=0,"excluded","continuing")))</f>
        <v>0</v>
      </c>
      <c r="AF31" s="9">
        <f>IF(AE31="elected",AC31,0)</f>
        <v>0</v>
      </c>
      <c r="AG31" s="43">
        <f>IF(AF31=0,0,(IF(AC31&gt;=0,"transfer largest surplus","progress to exclude")))</f>
        <v>0</v>
      </c>
      <c r="AL31" s="57" t="s">
        <v>28</v>
      </c>
      <c r="AM31" s="56"/>
      <c r="AN31" s="56"/>
      <c r="AO31" s="56"/>
      <c r="AP31" s="56"/>
      <c r="AQ31" s="55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27</v>
      </c>
      <c r="BA31" s="59" t="s">
        <v>26</v>
      </c>
      <c r="BB31" s="59"/>
      <c r="BC31" s="48" t="b">
        <f>IF(AT5=0,0,IF(AT5="T",IF(BC19&lt;=BC12,BC12-BC19,0)))</f>
        <v>0</v>
      </c>
      <c r="BE31" s="58" t="s">
        <v>25</v>
      </c>
      <c r="BF31" s="42"/>
      <c r="BG31" s="42"/>
      <c r="BI31" s="41"/>
      <c r="BJ31" s="40"/>
      <c r="BK31" s="39"/>
      <c r="BV31" t="s">
        <v>23</v>
      </c>
      <c r="BW31" s="9">
        <f>BT29+BV29+BX29+BZ29+CB29+CD29</f>
        <v>0</v>
      </c>
      <c r="BX31" s="42"/>
      <c r="BY31" s="42"/>
      <c r="BZ31" s="9">
        <f>BW69-BW31</f>
        <v>0</v>
      </c>
      <c r="CB31" s="57" t="s">
        <v>24</v>
      </c>
      <c r="CC31" s="56"/>
      <c r="CD31" s="56"/>
      <c r="CE31" s="55"/>
    </row>
    <row r="32" spans="1:83" ht="13.5" thickBot="1" x14ac:dyDescent="0.25">
      <c r="D32" s="32" t="s">
        <v>23</v>
      </c>
      <c r="E32" s="54">
        <f>SUM(E11:E30)</f>
        <v>56101</v>
      </c>
      <c r="F32" s="49"/>
      <c r="G32" s="52">
        <f>'[1]Stage 2'!G32</f>
        <v>56101</v>
      </c>
      <c r="H32" s="53"/>
      <c r="I32" s="52">
        <f>'[1]Stage 3'!I32</f>
        <v>56101</v>
      </c>
      <c r="J32" s="51"/>
      <c r="K32" s="52">
        <f>'[1]Stage 4'!K32</f>
        <v>56101</v>
      </c>
      <c r="L32" s="51"/>
      <c r="M32" s="52">
        <f>'[1]Stage 5'!M32</f>
        <v>56101</v>
      </c>
      <c r="N32" s="51"/>
      <c r="O32" s="52">
        <f>'[1]Stage 6'!O32</f>
        <v>56101</v>
      </c>
      <c r="P32" s="51"/>
      <c r="Q32" s="52">
        <f>'[1]Stage 7'!Q32</f>
        <v>56101</v>
      </c>
      <c r="R32" s="51"/>
      <c r="S32" s="52">
        <f>'[1]Stage 8'!S32</f>
        <v>56101</v>
      </c>
      <c r="T32" s="51"/>
      <c r="U32" s="50">
        <f>SUM(U11:U31)</f>
        <v>0</v>
      </c>
      <c r="V32" s="49"/>
      <c r="W32" s="48">
        <f>SUM(W11:W31)</f>
        <v>0</v>
      </c>
      <c r="Z32" s="47">
        <f>'[1]Verification of Boxes'!J28</f>
        <v>0</v>
      </c>
      <c r="AA32" s="46">
        <f>S29</f>
        <v>0</v>
      </c>
      <c r="AB32" s="9"/>
      <c r="AC32" s="45">
        <f>IF(AA32&gt;0,AA32-AG$4,0)</f>
        <v>0</v>
      </c>
      <c r="AD32" s="44"/>
      <c r="AE32" s="9">
        <f>IF(Z32=0,0,IF(AA32&gt;=AG$4,"elected",IF(AA32=0,"excluded","continuing")))</f>
        <v>0</v>
      </c>
      <c r="AF32" s="9">
        <f>IF(AE32="elected",AC32,0)</f>
        <v>0</v>
      </c>
      <c r="AG32" s="43">
        <f>IF(AF32=0,0,(IF(AC32&gt;=0,"transfer largest surplus","progress to exclude")))</f>
        <v>0</v>
      </c>
      <c r="AL32" s="41"/>
      <c r="AM32" s="40"/>
      <c r="AN32" s="40"/>
      <c r="AO32" s="40"/>
      <c r="AP32" s="40"/>
      <c r="AQ32" s="39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42"/>
      <c r="BG32" s="42"/>
      <c r="BX32" s="42"/>
      <c r="BY32" s="42"/>
      <c r="CB32" s="41"/>
      <c r="CC32" s="40"/>
      <c r="CD32" s="40"/>
      <c r="CE32" s="39"/>
    </row>
    <row r="33" spans="4:75" ht="13.5" thickBot="1" x14ac:dyDescent="0.25">
      <c r="D33" s="2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ERROR</v>
      </c>
      <c r="Z33" s="38">
        <f>'[1]Verification of Boxes'!J29</f>
        <v>0</v>
      </c>
      <c r="AA33" s="37">
        <f>S30</f>
        <v>0</v>
      </c>
      <c r="AB33" s="34"/>
      <c r="AC33" s="36">
        <f>IF(AA33&gt;0,AA33-AG$4,0)</f>
        <v>0</v>
      </c>
      <c r="AD33" s="35"/>
      <c r="AE33" s="34">
        <f>IF(Z33=0,0,IF(AA33&gt;=AG$4,"elected",IF(AA33=0,"excluded","continuing")))</f>
        <v>0</v>
      </c>
      <c r="AF33" s="34">
        <f>IF(AE33="elected",AC33,0)</f>
        <v>0</v>
      </c>
      <c r="AG33" s="33">
        <f>IF(AF33=0,0,(IF(AC33&gt;=0,"transfer largest surplus","progress to exclude")))</f>
        <v>0</v>
      </c>
    </row>
    <row r="34" spans="4:75" ht="13.5" thickBot="1" x14ac:dyDescent="0.25">
      <c r="D34" s="32" t="s">
        <v>22</v>
      </c>
      <c r="E34" s="31">
        <f>'[1]Stage 2'!E34</f>
        <v>0.7284722222222223</v>
      </c>
      <c r="F34" s="29"/>
      <c r="G34" s="31">
        <f>'[1]Stage 2'!G34</f>
        <v>0.81597222222222221</v>
      </c>
      <c r="H34" s="29"/>
      <c r="I34" s="31">
        <f>'[1]Stage 3'!I34</f>
        <v>0.86805555555555547</v>
      </c>
      <c r="J34" s="29"/>
      <c r="K34" s="31">
        <f>'[1]Stage 4'!K34</f>
        <v>0.95138888888888884</v>
      </c>
      <c r="L34" s="29"/>
      <c r="M34" s="31">
        <f>'[1]Stage 5'!M34</f>
        <v>0.47222222222222227</v>
      </c>
      <c r="N34" s="29"/>
      <c r="O34" s="31">
        <f>'[1]Stage 6'!O34</f>
        <v>0.52777777777777779</v>
      </c>
      <c r="P34" s="29"/>
      <c r="Q34" s="31">
        <f>'[1]Stage 7'!Q34</f>
        <v>0.57986111111111105</v>
      </c>
      <c r="R34" s="29"/>
      <c r="S34" s="31">
        <f>'[1]Stage 8'!S34</f>
        <v>0.625</v>
      </c>
      <c r="T34" s="29"/>
      <c r="U34" s="30"/>
      <c r="V34" s="29"/>
      <c r="W34" s="28"/>
    </row>
    <row r="35" spans="4:75" x14ac:dyDescent="0.2">
      <c r="D35" s="27"/>
      <c r="E35" s="15"/>
      <c r="G35" s="15"/>
      <c r="I35" s="15"/>
      <c r="K35" s="15"/>
      <c r="M35" s="15"/>
      <c r="O35" s="15"/>
      <c r="Q35" s="15"/>
      <c r="S35" s="15"/>
    </row>
    <row r="36" spans="4:75" x14ac:dyDescent="0.2">
      <c r="D36" s="27"/>
      <c r="E36" s="15"/>
      <c r="G36" s="15"/>
      <c r="I36" s="15"/>
      <c r="K36" s="15"/>
      <c r="M36" s="15"/>
      <c r="O36" s="15"/>
      <c r="Q36" s="15"/>
      <c r="S36" s="15"/>
    </row>
    <row r="38" spans="4:75" x14ac:dyDescent="0.2">
      <c r="Z38" s="25" t="s">
        <v>21</v>
      </c>
      <c r="AA38" s="16"/>
      <c r="AB38" s="16"/>
      <c r="AC38" s="16"/>
      <c r="AD38" s="16"/>
      <c r="AE38" s="16"/>
      <c r="AF38" s="16"/>
      <c r="AG38" s="16"/>
      <c r="AK38" s="26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4:75" x14ac:dyDescent="0.2">
      <c r="Z39" s="25" t="s">
        <v>20</v>
      </c>
      <c r="AA39" s="16"/>
      <c r="AB39" s="16"/>
      <c r="AC39" s="16"/>
      <c r="AD39" s="16"/>
      <c r="AE39" s="16"/>
      <c r="AF39" s="16"/>
      <c r="AG39" s="16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4:75" x14ac:dyDescent="0.2">
      <c r="Z40" s="24" t="s">
        <v>19</v>
      </c>
      <c r="AA40" s="16"/>
      <c r="AB40" s="16"/>
      <c r="AC40" s="16"/>
      <c r="AD40" s="16"/>
      <c r="AE40" s="16"/>
      <c r="AF40" s="16"/>
      <c r="AG40" s="16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4:75" x14ac:dyDescent="0.2">
      <c r="Z41" s="16"/>
      <c r="AA41" s="25"/>
      <c r="AB41" s="16"/>
      <c r="AC41" s="16"/>
      <c r="AD41" s="16"/>
      <c r="AE41" s="16"/>
      <c r="AF41" s="16"/>
      <c r="AG41" s="16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4:75" x14ac:dyDescent="0.2">
      <c r="Z42" s="16"/>
      <c r="AA42" s="16"/>
      <c r="AB42" s="16"/>
      <c r="AC42" s="24" t="s">
        <v>18</v>
      </c>
      <c r="AD42" s="24"/>
      <c r="AE42" s="24" t="s">
        <v>17</v>
      </c>
      <c r="AF42" s="16"/>
      <c r="AG42" s="16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4:75" ht="12.75" customHeight="1" x14ac:dyDescent="0.2">
      <c r="Z43" s="16"/>
      <c r="AA43" s="16"/>
      <c r="AB43" s="16"/>
      <c r="AC43" s="16">
        <f>AG2</f>
        <v>220.97999999999956</v>
      </c>
      <c r="AD43" s="16"/>
      <c r="AE43" s="17"/>
      <c r="AF43" s="16"/>
      <c r="AG43" s="16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4:75" x14ac:dyDescent="0.2">
      <c r="Z44" s="18" t="e">
        <f t="array" aca="1" ref="Z44:AB63" ca="1">_xlfn._xlws.SORT(AJ48:AL67,3,,)</f>
        <v>#NAME?</v>
      </c>
      <c r="AA44" s="16" t="e">
        <f ca="1"/>
        <v>#NAME?</v>
      </c>
      <c r="AB44" s="16" t="e">
        <f ca="1"/>
        <v>#NAME?</v>
      </c>
      <c r="AC44" s="16" t="e">
        <f ca="1">AC43+AA44</f>
        <v>#NAME?</v>
      </c>
      <c r="AD44" s="16"/>
      <c r="AE44" s="17" t="e">
        <f ca="1">IF(AC44&gt;$AG$4,0,IF(AC44&lt;AA45,"Exclude this candidate",0))</f>
        <v>#NAME?</v>
      </c>
      <c r="AF44" s="16"/>
      <c r="AG44" s="16"/>
    </row>
    <row r="45" spans="4:75" ht="18" customHeight="1" x14ac:dyDescent="0.25">
      <c r="Z45" s="18" t="e">
        <f ca="1"/>
        <v>#NAME?</v>
      </c>
      <c r="AA45" s="16" t="e">
        <f ca="1"/>
        <v>#NAME?</v>
      </c>
      <c r="AB45" s="16" t="e">
        <f ca="1"/>
        <v>#NAME?</v>
      </c>
      <c r="AC45" s="16" t="e">
        <f ca="1">AC44+AA45</f>
        <v>#NAME?</v>
      </c>
      <c r="AD45" s="16"/>
      <c r="AE45" s="17" t="e">
        <f ca="1">IF(AC45&gt;$AG$4,0,IF(AC45&lt;AA46,"Exclude 2 lowest candidates",0))</f>
        <v>#NAME?</v>
      </c>
      <c r="AF45" s="16"/>
      <c r="AG45" s="16"/>
      <c r="AJ45" s="23" t="s">
        <v>16</v>
      </c>
      <c r="AK45" s="23"/>
      <c r="AL45" s="23"/>
      <c r="AM45" s="23"/>
      <c r="AN45" s="23"/>
    </row>
    <row r="46" spans="4:75" x14ac:dyDescent="0.2">
      <c r="Z46" s="18" t="e">
        <f ca="1"/>
        <v>#NAME?</v>
      </c>
      <c r="AA46" s="16" t="e">
        <f ca="1"/>
        <v>#NAME?</v>
      </c>
      <c r="AB46" s="16" t="e">
        <f ca="1"/>
        <v>#NAME?</v>
      </c>
      <c r="AC46" s="16" t="e">
        <f ca="1">AC45+AA46</f>
        <v>#NAME?</v>
      </c>
      <c r="AD46" s="16"/>
      <c r="AE46" s="17" t="e">
        <f ca="1">IF(AC46&gt;$AG$4,0,IF(AC46&lt;AA47,"Exclude 3 lowest candidates",0))</f>
        <v>#NAME?</v>
      </c>
      <c r="AF46" s="16"/>
      <c r="AG46" s="16"/>
      <c r="AL46" s="15">
        <f>AL47</f>
        <v>8588.7099999999991</v>
      </c>
      <c r="AN46" s="15">
        <f>AN47+AL46</f>
        <v>8964.7800000000007</v>
      </c>
      <c r="AP46" s="15">
        <f>AP47+AN46</f>
        <v>9351</v>
      </c>
      <c r="AR46" s="15">
        <f>AR47+AP46</f>
        <v>9571.98</v>
      </c>
      <c r="AS46" s="15"/>
      <c r="AU46" s="15">
        <f>AU47+AR46</f>
        <v>1000000.0000000001</v>
      </c>
      <c r="AW46" s="15">
        <f>AW47+AU46</f>
        <v>1008588.7100000001</v>
      </c>
      <c r="AX46" s="15"/>
      <c r="BG46" t="s">
        <v>15</v>
      </c>
    </row>
    <row r="47" spans="4:75" x14ac:dyDescent="0.2">
      <c r="Z47" s="18" t="e">
        <f ca="1"/>
        <v>#NAME?</v>
      </c>
      <c r="AA47" s="16" t="e">
        <f ca="1"/>
        <v>#NAME?</v>
      </c>
      <c r="AB47" s="16" t="e">
        <f ca="1"/>
        <v>#NAME?</v>
      </c>
      <c r="AC47" s="16" t="e">
        <f ca="1">AC46+AA47</f>
        <v>#NAME?</v>
      </c>
      <c r="AD47" s="16"/>
      <c r="AE47" s="17" t="e">
        <f ca="1">IF(AC47&gt;$AG$4,0,IF(AC47&lt;AA48,"Exclude 4 lowest candidates",0))</f>
        <v>#NAME?</v>
      </c>
      <c r="AF47" s="16"/>
      <c r="AG47" s="16"/>
      <c r="AL47" s="15">
        <f>MIN(AL48:AL67)</f>
        <v>8588.7099999999991</v>
      </c>
      <c r="AN47" s="15">
        <f>MIN(AN48:AN67)</f>
        <v>376.07000000000153</v>
      </c>
      <c r="AP47" s="15">
        <f>MIN(AP48:AP67)</f>
        <v>386.21999999999935</v>
      </c>
      <c r="AR47" s="15">
        <f>MIN(AR48:AR67)</f>
        <v>220.97999999999956</v>
      </c>
      <c r="AS47" s="15"/>
      <c r="AU47" s="15">
        <f>MIN(AU48:AU67)</f>
        <v>990428.02000000014</v>
      </c>
      <c r="AW47" s="15">
        <f>MIN(AW48:AW67)</f>
        <v>8588.7099999999627</v>
      </c>
      <c r="AX47" s="15"/>
    </row>
    <row r="48" spans="4:75" ht="38.25" x14ac:dyDescent="0.2">
      <c r="Z48" s="18" t="e">
        <f ca="1"/>
        <v>#NAME?</v>
      </c>
      <c r="AA48" s="16" t="e">
        <f ca="1"/>
        <v>#NAME?</v>
      </c>
      <c r="AB48" s="16" t="e">
        <f ca="1"/>
        <v>#NAME?</v>
      </c>
      <c r="AC48" s="16" t="e">
        <f ca="1">AC47+AA48</f>
        <v>#NAME?</v>
      </c>
      <c r="AD48" s="16"/>
      <c r="AE48" s="17" t="e">
        <f ca="1">IF(AC48&gt;$AG$4,0,IF(AC48&lt;AA49,"Exclude 5 lowest candidates",0))</f>
        <v>#NAME?</v>
      </c>
      <c r="AF48" s="16"/>
      <c r="AG48" s="16"/>
      <c r="AJ48" t="str">
        <f>Z14</f>
        <v>BARR, Glenn</v>
      </c>
      <c r="AK48" s="15">
        <f>AA14</f>
        <v>0</v>
      </c>
      <c r="AL48">
        <f>IF(AK48&lt;&gt;0,AK48,1000000)</f>
        <v>1000000</v>
      </c>
      <c r="AM48" s="15">
        <f>AL48-AL$47</f>
        <v>991411.29</v>
      </c>
      <c r="AN48">
        <f>IF(AM48&lt;&gt;0,AM48,1000000)</f>
        <v>991411.29</v>
      </c>
      <c r="AO48" s="15">
        <f>AN48-AN$47</f>
        <v>991035.22000000009</v>
      </c>
      <c r="AP48">
        <f>IF(AO48&lt;&gt;0,AO48,1000000)</f>
        <v>991035.22000000009</v>
      </c>
      <c r="AQ48" s="15">
        <f>AP48-AP$47</f>
        <v>990649.00000000012</v>
      </c>
      <c r="AR48">
        <f>IF(AQ48&lt;&gt;0,AQ48,1000000)</f>
        <v>990649.00000000012</v>
      </c>
      <c r="AT48" s="15">
        <f>AR48-AR$47</f>
        <v>990428.02000000014</v>
      </c>
      <c r="AU48">
        <f>IF(AT48&lt;&gt;0,AT48,1000000)</f>
        <v>990428.02000000014</v>
      </c>
      <c r="AV48" s="15">
        <f>AU48-AU$47</f>
        <v>0</v>
      </c>
      <c r="AW48">
        <f>IF(AV48&lt;&gt;0,AV48,1000000)</f>
        <v>1000000</v>
      </c>
      <c r="BE48" s="21" t="s">
        <v>14</v>
      </c>
      <c r="BI48" s="22" t="s">
        <v>13</v>
      </c>
      <c r="BJ48" s="22" t="s">
        <v>12</v>
      </c>
      <c r="BK48" s="22" t="s">
        <v>11</v>
      </c>
      <c r="BL48" s="21"/>
      <c r="BM48" s="21"/>
      <c r="BN48" s="21" t="s">
        <v>10</v>
      </c>
      <c r="BO48" s="21"/>
      <c r="BP48" s="21"/>
      <c r="BW48" t="s">
        <v>9</v>
      </c>
    </row>
    <row r="49" spans="26:75" x14ac:dyDescent="0.2">
      <c r="Z49" s="18" t="e">
        <f ca="1"/>
        <v>#NAME?</v>
      </c>
      <c r="AA49" s="16" t="e">
        <f ca="1"/>
        <v>#NAME?</v>
      </c>
      <c r="AB49" s="16" t="e">
        <f ca="1"/>
        <v>#NAME?</v>
      </c>
      <c r="AC49" s="16" t="e">
        <f ca="1">AC48+AA49</f>
        <v>#NAME?</v>
      </c>
      <c r="AD49" s="16"/>
      <c r="AE49" s="17" t="e">
        <f ca="1">IF(AC49&gt;$AG$4,0,IF(AC49&lt;AA50,"Exclude 6 lowest candidates",0))</f>
        <v>#NAME?</v>
      </c>
      <c r="AF49" s="16"/>
      <c r="AG49" s="16"/>
      <c r="AJ49" t="str">
        <f>Z15</f>
        <v>BEATTIE, Doug</v>
      </c>
      <c r="AK49" s="15">
        <f>AA15</f>
        <v>9571.98</v>
      </c>
      <c r="AL49">
        <f>IF(AK49&lt;&gt;0,AK49,1000000)</f>
        <v>9571.98</v>
      </c>
      <c r="AM49" s="15">
        <f>AL49-AL$47</f>
        <v>983.27000000000044</v>
      </c>
      <c r="AN49">
        <f>IF(AM49&lt;&gt;0,AM49,1000000)</f>
        <v>983.27000000000044</v>
      </c>
      <c r="AO49" s="15">
        <f>AN49-AN$47</f>
        <v>607.19999999999891</v>
      </c>
      <c r="AP49">
        <f>IF(AO49&lt;&gt;0,AO49,1000000)</f>
        <v>607.19999999999891</v>
      </c>
      <c r="AQ49" s="15">
        <f>AP49-AP$47</f>
        <v>220.97999999999956</v>
      </c>
      <c r="AR49">
        <f>IF(AQ49&lt;&gt;0,AQ49,1000000)</f>
        <v>220.97999999999956</v>
      </c>
      <c r="AT49" s="15">
        <f>AR49-AR$47</f>
        <v>0</v>
      </c>
      <c r="AU49">
        <f>IF(AT49&lt;&gt;0,AT49,1000000)</f>
        <v>1000000</v>
      </c>
      <c r="AV49" s="15">
        <f>AU49-AU$47</f>
        <v>9571.979999999865</v>
      </c>
      <c r="AW49">
        <f>IF(AV49&lt;&gt;0,AV49,1000000)</f>
        <v>9571.979999999865</v>
      </c>
      <c r="BE49" s="9">
        <f>IF($BH5="y",$BE5,IF($BH6="y",$BE6,IF($BH7="y",$BE7,IF($BH8="y",$BE8,IF($BH9="y",$BE9,IF($BH10="y",$BE10,0))))))</f>
        <v>0</v>
      </c>
      <c r="BG49" s="20" t="str">
        <f>BE5</f>
        <v>BARR, Glenn</v>
      </c>
      <c r="BH49" s="19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26:75" x14ac:dyDescent="0.2">
      <c r="Z50" s="18" t="e">
        <f ca="1"/>
        <v>#NAME?</v>
      </c>
      <c r="AA50" s="16" t="e">
        <f ca="1"/>
        <v>#NAME?</v>
      </c>
      <c r="AB50" s="16" t="e">
        <f ca="1"/>
        <v>#NAME?</v>
      </c>
      <c r="AC50" s="16" t="e">
        <f ca="1">AC49+AA50</f>
        <v>#NAME?</v>
      </c>
      <c r="AD50" s="16"/>
      <c r="AE50" s="17" t="e">
        <f ca="1">IF(AC50&gt;$AG$4,0,IF(AC50&lt;AA51,"Exclude 7 lowest candidates",0))</f>
        <v>#NAME?</v>
      </c>
      <c r="AF50" s="16"/>
      <c r="AG50" s="16"/>
      <c r="AJ50" t="str">
        <f>Z16</f>
        <v>BEATTIE, Glenn</v>
      </c>
      <c r="AK50" s="15">
        <f>AA16</f>
        <v>0</v>
      </c>
      <c r="AL50">
        <f>IF(AK50&lt;&gt;0,AK50,1000000)</f>
        <v>1000000</v>
      </c>
      <c r="AM50" s="15">
        <f>AL50-AL$47</f>
        <v>991411.29</v>
      </c>
      <c r="AN50">
        <f>IF(AM50&lt;&gt;0,AM50,1000000)</f>
        <v>991411.29</v>
      </c>
      <c r="AO50" s="15">
        <f>AN50-AN$47</f>
        <v>991035.22000000009</v>
      </c>
      <c r="AP50">
        <f>IF(AO50&lt;&gt;0,AO50,1000000)</f>
        <v>991035.22000000009</v>
      </c>
      <c r="AQ50" s="15">
        <f>AP50-AP$47</f>
        <v>990649.00000000012</v>
      </c>
      <c r="AR50">
        <f>IF(AQ50&lt;&gt;0,AQ50,1000000)</f>
        <v>990649.00000000012</v>
      </c>
      <c r="AT50" s="15">
        <f>AR50-AR$47</f>
        <v>990428.02000000014</v>
      </c>
      <c r="AU50">
        <f>IF(AT50&lt;&gt;0,AT50,1000000)</f>
        <v>990428.02000000014</v>
      </c>
      <c r="AV50" s="15">
        <f>AU50-AU$47</f>
        <v>0</v>
      </c>
      <c r="AW50">
        <f>IF(AV50&lt;&gt;0,AV50,1000000)</f>
        <v>1000000</v>
      </c>
      <c r="BE50" s="9">
        <f>IF($BH11="y",$BE11,IF($BH12="y",$BE12,IF($BH13="y",$BE13,IF($BH14="y",$BE14,IF($BH15="y",$BE15,IF($BH16="y",$BE16,0))))))</f>
        <v>0</v>
      </c>
      <c r="BG50" s="14" t="str">
        <f>BE6</f>
        <v>BEATTIE, Doug</v>
      </c>
      <c r="BH50" s="13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26:75" ht="12.75" customHeight="1" x14ac:dyDescent="0.2">
      <c r="Z51" s="18" t="e">
        <f ca="1"/>
        <v>#NAME?</v>
      </c>
      <c r="AA51" s="16" t="e">
        <f ca="1"/>
        <v>#NAME?</v>
      </c>
      <c r="AB51" s="16" t="e">
        <f ca="1"/>
        <v>#NAME?</v>
      </c>
      <c r="AC51" s="16" t="e">
        <f ca="1">AC50+AA51</f>
        <v>#NAME?</v>
      </c>
      <c r="AD51" s="16"/>
      <c r="AE51" s="17" t="e">
        <f ca="1">IF(AC51&gt;$AG$4,0,IF(AC51&lt;AA52,"Exclude 8 lowest candidates",0))</f>
        <v>#NAME?</v>
      </c>
      <c r="AF51" s="16"/>
      <c r="AG51" s="16"/>
      <c r="AJ51" t="str">
        <f>Z17</f>
        <v>BUCKLEY, Jonathan Glen</v>
      </c>
      <c r="AK51" s="15">
        <f>AA17</f>
        <v>9351</v>
      </c>
      <c r="AL51">
        <f>IF(AK51&lt;&gt;0,AK51,1000000)</f>
        <v>9351</v>
      </c>
      <c r="AM51" s="15">
        <f>AL51-AL$47</f>
        <v>762.29000000000087</v>
      </c>
      <c r="AN51">
        <f>IF(AM51&lt;&gt;0,AM51,1000000)</f>
        <v>762.29000000000087</v>
      </c>
      <c r="AO51" s="15">
        <f>AN51-AN$47</f>
        <v>386.21999999999935</v>
      </c>
      <c r="AP51">
        <f>IF(AO51&lt;&gt;0,AO51,1000000)</f>
        <v>386.21999999999935</v>
      </c>
      <c r="AQ51" s="15">
        <f>AP51-AP$47</f>
        <v>0</v>
      </c>
      <c r="AR51">
        <f>IF(AQ51&lt;&gt;0,AQ51,1000000)</f>
        <v>1000000</v>
      </c>
      <c r="AT51" s="15">
        <f>AR51-AR$47</f>
        <v>999779.02</v>
      </c>
      <c r="AU51">
        <f>IF(AT51&lt;&gt;0,AT51,1000000)</f>
        <v>999779.02</v>
      </c>
      <c r="AV51" s="15">
        <f>AU51-AU$47</f>
        <v>9350.9999999998836</v>
      </c>
      <c r="AW51">
        <f>IF(AV51&lt;&gt;0,AV51,1000000)</f>
        <v>9350.9999999998836</v>
      </c>
      <c r="BE51" s="9">
        <f>IF($BH17="y",$BE17,IF($BH18="y",$BE18,IF($BH19="y",$BE19,IF($BH20="y",$BE20,IF($BH21="y",$BE21,IF($BH22="y",$BE22,0))))))</f>
        <v>0</v>
      </c>
      <c r="BG51" s="14" t="str">
        <f>BE7</f>
        <v>BEATTIE, Glenn</v>
      </c>
      <c r="BH51" s="13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26:75" x14ac:dyDescent="0.2">
      <c r="Z52" s="18" t="e">
        <f ca="1"/>
        <v>#NAME?</v>
      </c>
      <c r="AA52" s="16" t="e">
        <f ca="1"/>
        <v>#NAME?</v>
      </c>
      <c r="AB52" s="16" t="e">
        <f ca="1"/>
        <v>#NAME?</v>
      </c>
      <c r="AC52" s="16" t="e">
        <f ca="1">AC51+AA52</f>
        <v>#NAME?</v>
      </c>
      <c r="AD52" s="16"/>
      <c r="AE52" s="17" t="e">
        <f ca="1">IF(AC52&gt;$AG$4,0,IF(AC52&lt;AA53,"Exclude 9 lowest candidates",0))</f>
        <v>#NAME?</v>
      </c>
      <c r="AF52" s="16"/>
      <c r="AG52" s="16"/>
      <c r="AJ52" t="str">
        <f>Z18</f>
        <v>DODDS, Diane</v>
      </c>
      <c r="AK52" s="15">
        <f>AA18</f>
        <v>9351</v>
      </c>
      <c r="AL52">
        <f>IF(AK52&lt;&gt;0,AK52,1000000)</f>
        <v>9351</v>
      </c>
      <c r="AM52" s="15">
        <f>AL52-AL$47</f>
        <v>762.29000000000087</v>
      </c>
      <c r="AN52">
        <f>IF(AM52&lt;&gt;0,AM52,1000000)</f>
        <v>762.29000000000087</v>
      </c>
      <c r="AO52" s="15">
        <f>AN52-AN$47</f>
        <v>386.21999999999935</v>
      </c>
      <c r="AP52">
        <f>IF(AO52&lt;&gt;0,AO52,1000000)</f>
        <v>386.21999999999935</v>
      </c>
      <c r="AQ52" s="15">
        <f>AP52-AP$47</f>
        <v>0</v>
      </c>
      <c r="AR52">
        <f>IF(AQ52&lt;&gt;0,AQ52,1000000)</f>
        <v>1000000</v>
      </c>
      <c r="AT52" s="15">
        <f>AR52-AR$47</f>
        <v>999779.02</v>
      </c>
      <c r="AU52">
        <f>IF(AT52&lt;&gt;0,AT52,1000000)</f>
        <v>999779.02</v>
      </c>
      <c r="AV52" s="15">
        <f>AU52-AU$47</f>
        <v>9350.9999999998836</v>
      </c>
      <c r="AW52">
        <f>IF(AV52&lt;&gt;0,AV52,1000000)</f>
        <v>9350.9999999998836</v>
      </c>
      <c r="BE52" s="9">
        <f>IF($BH23="y",$BE23,IF($BH24="y",$BE24,0))</f>
        <v>0</v>
      </c>
      <c r="BG52" s="14" t="str">
        <f>BE8</f>
        <v>BUCKLEY, Jonathan Glen</v>
      </c>
      <c r="BH52" s="13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26:75" x14ac:dyDescent="0.2">
      <c r="Z53" s="18" t="e">
        <f ca="1"/>
        <v>#NAME?</v>
      </c>
      <c r="AA53" s="16" t="e">
        <f ca="1"/>
        <v>#NAME?</v>
      </c>
      <c r="AB53" s="16" t="e">
        <f ca="1"/>
        <v>#NAME?</v>
      </c>
      <c r="AC53" s="16" t="e">
        <f ca="1">AC52+AA53</f>
        <v>#NAME?</v>
      </c>
      <c r="AD53" s="16"/>
      <c r="AE53" s="17" t="e">
        <f ca="1">IF(AC53&gt;$AG$4,0,IF(AC53&lt;AA54,"Exclude 10 lowest candidates",0))</f>
        <v>#NAME?</v>
      </c>
      <c r="AF53" s="16"/>
      <c r="AG53" s="16"/>
      <c r="AJ53" t="str">
        <f>Z19</f>
        <v>FOSTER, Darrin</v>
      </c>
      <c r="AK53" s="15">
        <f>AA19</f>
        <v>0</v>
      </c>
      <c r="AL53">
        <f>IF(AK53&lt;&gt;0,AK53,1000000)</f>
        <v>1000000</v>
      </c>
      <c r="AM53" s="15">
        <f>AL53-AL$47</f>
        <v>991411.29</v>
      </c>
      <c r="AN53">
        <f>IF(AM53&lt;&gt;0,AM53,1000000)</f>
        <v>991411.29</v>
      </c>
      <c r="AO53" s="15">
        <f>AN53-AN$47</f>
        <v>991035.22000000009</v>
      </c>
      <c r="AP53">
        <f>IF(AO53&lt;&gt;0,AO53,1000000)</f>
        <v>991035.22000000009</v>
      </c>
      <c r="AQ53" s="15">
        <f>AP53-AP$47</f>
        <v>990649.00000000012</v>
      </c>
      <c r="AR53">
        <f>IF(AQ53&lt;&gt;0,AQ53,1000000)</f>
        <v>990649.00000000012</v>
      </c>
      <c r="AT53" s="15">
        <f>AR53-AR$47</f>
        <v>990428.02000000014</v>
      </c>
      <c r="AU53">
        <f>IF(AT53&lt;&gt;0,AT53,1000000)</f>
        <v>990428.02000000014</v>
      </c>
      <c r="AV53" s="15">
        <f>AU53-AU$47</f>
        <v>0</v>
      </c>
      <c r="AW53">
        <f>IF(AV53&lt;&gt;0,AV53,1000000)</f>
        <v>1000000</v>
      </c>
      <c r="BG53" s="14" t="str">
        <f>BE9</f>
        <v>DODDS, Diane</v>
      </c>
      <c r="BH53" s="13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26:75" x14ac:dyDescent="0.2">
      <c r="Z54" s="18" t="e">
        <f ca="1"/>
        <v>#NAME?</v>
      </c>
      <c r="AA54" s="16" t="e">
        <f ca="1"/>
        <v>#NAME?</v>
      </c>
      <c r="AB54" s="16" t="e">
        <f ca="1"/>
        <v>#NAME?</v>
      </c>
      <c r="AC54" s="16" t="e">
        <f ca="1">AC53+AA54</f>
        <v>#NAME?</v>
      </c>
      <c r="AD54" s="16"/>
      <c r="AE54" s="17" t="e">
        <f ca="1">IF(AC54&gt;$AG$4,0,IF(AC54&lt;AA55,"Exclude 11 lowest candidates",0))</f>
        <v>#NAME?</v>
      </c>
      <c r="AF54" s="16"/>
      <c r="AG54" s="16"/>
      <c r="AJ54" t="str">
        <f>Z20</f>
        <v>GRIBBIN, Aidan</v>
      </c>
      <c r="AK54" s="15">
        <f>AA20</f>
        <v>0</v>
      </c>
      <c r="AL54">
        <f>IF(AK54&lt;&gt;0,AK54,1000000)</f>
        <v>1000000</v>
      </c>
      <c r="AM54" s="15">
        <f>AL54-AL$47</f>
        <v>991411.29</v>
      </c>
      <c r="AN54">
        <f>IF(AM54&lt;&gt;0,AM54,1000000)</f>
        <v>991411.29</v>
      </c>
      <c r="AO54" s="15">
        <f>AN54-AN$47</f>
        <v>991035.22000000009</v>
      </c>
      <c r="AP54">
        <f>IF(AO54&lt;&gt;0,AO54,1000000)</f>
        <v>991035.22000000009</v>
      </c>
      <c r="AQ54" s="15">
        <f>AP54-AP$47</f>
        <v>990649.00000000012</v>
      </c>
      <c r="AR54">
        <f>IF(AQ54&lt;&gt;0,AQ54,1000000)</f>
        <v>990649.00000000012</v>
      </c>
      <c r="AT54" s="15">
        <f>AR54-AR$47</f>
        <v>990428.02000000014</v>
      </c>
      <c r="AU54">
        <f>IF(AT54&lt;&gt;0,AT54,1000000)</f>
        <v>990428.02000000014</v>
      </c>
      <c r="AV54" s="15">
        <f>AU54-AU$47</f>
        <v>0</v>
      </c>
      <c r="AW54">
        <f>IF(AV54&lt;&gt;0,AV54,1000000)</f>
        <v>1000000</v>
      </c>
      <c r="BG54" s="14" t="str">
        <f>BE10</f>
        <v>FOSTER, Darrin</v>
      </c>
      <c r="BH54" s="13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26:75" x14ac:dyDescent="0.2">
      <c r="Z55" s="18" t="e">
        <f ca="1"/>
        <v>#NAME?</v>
      </c>
      <c r="AA55" s="16" t="e">
        <f ca="1"/>
        <v>#NAME?</v>
      </c>
      <c r="AB55" s="16" t="e">
        <f ca="1"/>
        <v>#NAME?</v>
      </c>
      <c r="AC55" s="16" t="e">
        <f ca="1">AC54+AA55</f>
        <v>#NAME?</v>
      </c>
      <c r="AD55" s="16"/>
      <c r="AE55" s="17" t="e">
        <f ca="1">IF(AC55&gt;$AG$4,0,IF(AC55&lt;AA56,"Exclude 12 lowest candidates",0))</f>
        <v>#NAME?</v>
      </c>
      <c r="AF55" s="16"/>
      <c r="AG55" s="16"/>
      <c r="AJ55" t="str">
        <f>Z21</f>
        <v>KELLY, Dolores</v>
      </c>
      <c r="AK55" s="15">
        <f>AA21</f>
        <v>0</v>
      </c>
      <c r="AL55">
        <f>IF(AK55&lt;&gt;0,AK55,1000000)</f>
        <v>1000000</v>
      </c>
      <c r="AM55" s="15">
        <f>AL55-AL$47</f>
        <v>991411.29</v>
      </c>
      <c r="AN55">
        <f>IF(AM55&lt;&gt;0,AM55,1000000)</f>
        <v>991411.29</v>
      </c>
      <c r="AO55" s="15">
        <f>AN55-AN$47</f>
        <v>991035.22000000009</v>
      </c>
      <c r="AP55">
        <f>IF(AO55&lt;&gt;0,AO55,1000000)</f>
        <v>991035.22000000009</v>
      </c>
      <c r="AQ55" s="15">
        <f>AP55-AP$47</f>
        <v>990649.00000000012</v>
      </c>
      <c r="AR55">
        <f>IF(AQ55&lt;&gt;0,AQ55,1000000)</f>
        <v>990649.00000000012</v>
      </c>
      <c r="AT55" s="15">
        <f>AR55-AR$47</f>
        <v>990428.02000000014</v>
      </c>
      <c r="AU55">
        <f>IF(AT55&lt;&gt;0,AT55,1000000)</f>
        <v>990428.02000000014</v>
      </c>
      <c r="AV55" s="15">
        <f>AU55-AU$47</f>
        <v>0</v>
      </c>
      <c r="AW55">
        <f>IF(AV55&lt;&gt;0,AV55,1000000)</f>
        <v>1000000</v>
      </c>
      <c r="BG55" s="14" t="str">
        <f>BE11</f>
        <v>GRIBBIN, Aidan</v>
      </c>
      <c r="BH55" s="13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26:75" x14ac:dyDescent="0.2">
      <c r="Z56" s="18" t="e">
        <f ca="1"/>
        <v>#NAME?</v>
      </c>
      <c r="AA56" s="16" t="e">
        <f ca="1"/>
        <v>#NAME?</v>
      </c>
      <c r="AB56" s="16" t="e">
        <f ca="1"/>
        <v>#NAME?</v>
      </c>
      <c r="AC56" s="16" t="e">
        <f ca="1">AC55+AA56</f>
        <v>#NAME?</v>
      </c>
      <c r="AD56" s="16"/>
      <c r="AE56" s="17" t="e">
        <f ca="1">IF(AC56&gt;$AG$4,0,IF(AC56&lt;AA57,"Exclude 13 lowest candidates",0))</f>
        <v>#NAME?</v>
      </c>
      <c r="AF56" s="16"/>
      <c r="AG56" s="16"/>
      <c r="AJ56" t="str">
        <f>Z22</f>
        <v>KENDALL, Lauren</v>
      </c>
      <c r="AK56" s="15">
        <f>AA22</f>
        <v>0</v>
      </c>
      <c r="AL56">
        <f>IF(AK56&lt;&gt;0,AK56,1000000)</f>
        <v>1000000</v>
      </c>
      <c r="AM56" s="15">
        <f>AL56-AL$47</f>
        <v>991411.29</v>
      </c>
      <c r="AN56">
        <f>IF(AM56&lt;&gt;0,AM56,1000000)</f>
        <v>991411.29</v>
      </c>
      <c r="AO56" s="15">
        <f>AN56-AN$47</f>
        <v>991035.22000000009</v>
      </c>
      <c r="AP56">
        <f>IF(AO56&lt;&gt;0,AO56,1000000)</f>
        <v>991035.22000000009</v>
      </c>
      <c r="AQ56" s="15">
        <f>AP56-AP$47</f>
        <v>990649.00000000012</v>
      </c>
      <c r="AR56">
        <f>IF(AQ56&lt;&gt;0,AQ56,1000000)</f>
        <v>990649.00000000012</v>
      </c>
      <c r="AT56" s="15">
        <f>AR56-AR$47</f>
        <v>990428.02000000014</v>
      </c>
      <c r="AU56">
        <f>IF(AT56&lt;&gt;0,AT56,1000000)</f>
        <v>990428.02000000014</v>
      </c>
      <c r="AV56" s="15">
        <f>AU56-AU$47</f>
        <v>0</v>
      </c>
      <c r="AW56">
        <f>IF(AV56&lt;&gt;0,AV56,1000000)</f>
        <v>1000000</v>
      </c>
      <c r="BG56" s="14" t="str">
        <f>BE12</f>
        <v>KELLY, Dolores</v>
      </c>
      <c r="BH56" s="13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26:75" x14ac:dyDescent="0.2">
      <c r="Z57" s="18" t="e">
        <f ca="1"/>
        <v>#NAME?</v>
      </c>
      <c r="AA57" s="16" t="e">
        <f ca="1"/>
        <v>#NAME?</v>
      </c>
      <c r="AB57" s="16" t="e">
        <f ca="1"/>
        <v>#NAME?</v>
      </c>
      <c r="AC57" s="16" t="e">
        <f ca="1">AC56+AA57</f>
        <v>#NAME?</v>
      </c>
      <c r="AD57" s="16"/>
      <c r="AE57" s="17" t="e">
        <f ca="1">IF(AC57&gt;$AG$4,0,IF(AC57&lt;AA58,"Exclude 14 lowest candidates",0))</f>
        <v>#NAME?</v>
      </c>
      <c r="AF57" s="16"/>
      <c r="AG57" s="16"/>
      <c r="AJ57" t="str">
        <f>Z23</f>
        <v>MACKLE, Liam</v>
      </c>
      <c r="AK57" s="15">
        <f>AA23</f>
        <v>8588.7099999999991</v>
      </c>
      <c r="AL57">
        <f>IF(AK57&lt;&gt;0,AK57,1000000)</f>
        <v>8588.7099999999991</v>
      </c>
      <c r="AM57" s="15">
        <f>AL57-AL$47</f>
        <v>0</v>
      </c>
      <c r="AN57">
        <f>IF(AM57&lt;&gt;0,AM57,1000000)</f>
        <v>1000000</v>
      </c>
      <c r="AO57" s="15">
        <f>AN57-AN$47</f>
        <v>999623.93</v>
      </c>
      <c r="AP57">
        <f>IF(AO57&lt;&gt;0,AO57,1000000)</f>
        <v>999623.93</v>
      </c>
      <c r="AQ57" s="15">
        <f>AP57-AP$47</f>
        <v>999237.71000000008</v>
      </c>
      <c r="AR57">
        <f>IF(AQ57&lt;&gt;0,AQ57,1000000)</f>
        <v>999237.71000000008</v>
      </c>
      <c r="AT57" s="15">
        <f>AR57-AR$47</f>
        <v>999016.7300000001</v>
      </c>
      <c r="AU57">
        <f>IF(AT57&lt;&gt;0,AT57,1000000)</f>
        <v>999016.7300000001</v>
      </c>
      <c r="AV57" s="15">
        <f>AU57-AU$47</f>
        <v>8588.7099999999627</v>
      </c>
      <c r="AW57">
        <f>IF(AV57&lt;&gt;0,AV57,1000000)</f>
        <v>8588.7099999999627</v>
      </c>
      <c r="BG57" s="14" t="str">
        <f>BE13</f>
        <v>KENDALL, Lauren</v>
      </c>
      <c r="BH57" s="13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26:75" x14ac:dyDescent="0.2">
      <c r="Z58" s="18" t="e">
        <f ca="1"/>
        <v>#NAME?</v>
      </c>
      <c r="AA58" s="16" t="e">
        <f ca="1"/>
        <v>#NAME?</v>
      </c>
      <c r="AB58" s="16" t="e">
        <f ca="1"/>
        <v>#NAME?</v>
      </c>
      <c r="AC58" s="16" t="e">
        <f ca="1">AC57+AA58</f>
        <v>#NAME?</v>
      </c>
      <c r="AD58" s="16"/>
      <c r="AE58" s="17" t="e">
        <f ca="1">IF(AC58&gt;$AG$4,0,IF(AC58&lt;AA59,"Exclude 15 lowest candidates",0))</f>
        <v>#NAME?</v>
      </c>
      <c r="AF58" s="16"/>
      <c r="AG58" s="16"/>
      <c r="AJ58" t="str">
        <f>Z24</f>
        <v>O'DOWD, John</v>
      </c>
      <c r="AK58" s="15">
        <f>AA24</f>
        <v>9351</v>
      </c>
      <c r="AL58">
        <f>IF(AK58&lt;&gt;0,AK58,1000000)</f>
        <v>9351</v>
      </c>
      <c r="AM58" s="15">
        <f>AL58-AL$47</f>
        <v>762.29000000000087</v>
      </c>
      <c r="AN58">
        <f>IF(AM58&lt;&gt;0,AM58,1000000)</f>
        <v>762.29000000000087</v>
      </c>
      <c r="AO58" s="15">
        <f>AN58-AN$47</f>
        <v>386.21999999999935</v>
      </c>
      <c r="AP58">
        <f>IF(AO58&lt;&gt;0,AO58,1000000)</f>
        <v>386.21999999999935</v>
      </c>
      <c r="AQ58" s="15">
        <f>AP58-AP$47</f>
        <v>0</v>
      </c>
      <c r="AR58">
        <f>IF(AQ58&lt;&gt;0,AQ58,1000000)</f>
        <v>1000000</v>
      </c>
      <c r="AT58" s="15">
        <f>AR58-AR$47</f>
        <v>999779.02</v>
      </c>
      <c r="AU58">
        <f>IF(AT58&lt;&gt;0,AT58,1000000)</f>
        <v>999779.02</v>
      </c>
      <c r="AV58" s="15">
        <f>AU58-AU$47</f>
        <v>9350.9999999998836</v>
      </c>
      <c r="AW58">
        <f>IF(AV58&lt;&gt;0,AV58,1000000)</f>
        <v>9350.9999999998836</v>
      </c>
      <c r="BG58" s="14" t="str">
        <f>BE14</f>
        <v>MACKLE, Liam</v>
      </c>
      <c r="BH58" s="13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26:75" ht="12.75" customHeight="1" x14ac:dyDescent="0.2">
      <c r="Z59" s="18" t="e">
        <f ca="1"/>
        <v>#NAME?</v>
      </c>
      <c r="AA59" s="16" t="e">
        <f ca="1"/>
        <v>#NAME?</v>
      </c>
      <c r="AB59" s="16" t="e">
        <f ca="1"/>
        <v>#NAME?</v>
      </c>
      <c r="AC59" s="16" t="e">
        <f ca="1">AC58+AA59</f>
        <v>#NAME?</v>
      </c>
      <c r="AD59" s="16"/>
      <c r="AE59" s="17" t="e">
        <f ca="1">IF(AC59&gt;$AG$4,0,IF(AC59&lt;AA60,"Exclude 16 lowest candidates",0))</f>
        <v>#NAME?</v>
      </c>
      <c r="AF59" s="16"/>
      <c r="AG59" s="16"/>
      <c r="AJ59" t="str">
        <f>Z25</f>
        <v>TENNYSON, Eóin</v>
      </c>
      <c r="AK59" s="15">
        <f>AA25</f>
        <v>8964.7800000000007</v>
      </c>
      <c r="AL59">
        <f>IF(AK59&lt;&gt;0,AK59,1000000)</f>
        <v>8964.7800000000007</v>
      </c>
      <c r="AM59" s="15">
        <f>AL59-AL$47</f>
        <v>376.07000000000153</v>
      </c>
      <c r="AN59">
        <f>IF(AM59&lt;&gt;0,AM59,1000000)</f>
        <v>376.07000000000153</v>
      </c>
      <c r="AO59" s="15">
        <f>AN59-AN$47</f>
        <v>0</v>
      </c>
      <c r="AP59">
        <f>IF(AO59&lt;&gt;0,AO59,1000000)</f>
        <v>1000000</v>
      </c>
      <c r="AQ59" s="15">
        <f>AP59-AP$47</f>
        <v>999613.78</v>
      </c>
      <c r="AR59">
        <f>IF(AQ59&lt;&gt;0,AQ59,1000000)</f>
        <v>999613.78</v>
      </c>
      <c r="AT59" s="15">
        <f>AR59-AR$47</f>
        <v>999392.8</v>
      </c>
      <c r="AU59">
        <f>IF(AT59&lt;&gt;0,AT59,1000000)</f>
        <v>999392.8</v>
      </c>
      <c r="AV59" s="15">
        <f>AU59-AU$47</f>
        <v>8964.7799999999115</v>
      </c>
      <c r="AW59">
        <f>IF(AV59&lt;&gt;0,AV59,1000000)</f>
        <v>8964.7799999999115</v>
      </c>
      <c r="BG59" s="14" t="str">
        <f>BE15</f>
        <v>O'DOWD, John</v>
      </c>
      <c r="BH59" s="13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26:75" ht="12.75" customHeight="1" x14ac:dyDescent="0.2">
      <c r="Z60" s="18" t="e">
        <f ca="1"/>
        <v>#NAME?</v>
      </c>
      <c r="AA60" s="16" t="e">
        <f ca="1"/>
        <v>#NAME?</v>
      </c>
      <c r="AB60" s="16" t="e">
        <f ca="1"/>
        <v>#NAME?</v>
      </c>
      <c r="AC60" s="16" t="e">
        <f ca="1">AC59+AA60</f>
        <v>#NAME?</v>
      </c>
      <c r="AD60" s="16"/>
      <c r="AE60" s="17" t="e">
        <f ca="1">IF(AC60&gt;$AG$4,0,IF(AC60&lt;AA61,"Exclude 17 lowest candidates",0))</f>
        <v>#NAME?</v>
      </c>
      <c r="AF60" s="16"/>
      <c r="AG60" s="16"/>
      <c r="AJ60">
        <f>Z26</f>
        <v>0</v>
      </c>
      <c r="AK60" s="15">
        <f>AA26</f>
        <v>0</v>
      </c>
      <c r="AL60">
        <f>IF(AK60&lt;&gt;0,AK60,1000000)</f>
        <v>1000000</v>
      </c>
      <c r="AM60" s="15">
        <f>AL60-AL$47</f>
        <v>991411.29</v>
      </c>
      <c r="AN60">
        <f>IF(AM60&lt;&gt;0,AM60,1000000)</f>
        <v>991411.29</v>
      </c>
      <c r="AO60" s="15">
        <f>AN60-AN$47</f>
        <v>991035.22000000009</v>
      </c>
      <c r="AP60">
        <f>IF(AO60&lt;&gt;0,AO60,1000000)</f>
        <v>991035.22000000009</v>
      </c>
      <c r="AQ60" s="15">
        <f>AP60-AP$47</f>
        <v>990649.00000000012</v>
      </c>
      <c r="AR60">
        <f>IF(AQ60&lt;&gt;0,AQ60,1000000)</f>
        <v>990649.00000000012</v>
      </c>
      <c r="AT60" s="15">
        <f>AR60-AR$47</f>
        <v>990428.02000000014</v>
      </c>
      <c r="AU60">
        <f>IF(AT60&lt;&gt;0,AT60,1000000)</f>
        <v>990428.02000000014</v>
      </c>
      <c r="AV60" s="15">
        <f>AU60-AU$47</f>
        <v>0</v>
      </c>
      <c r="AW60">
        <f>IF(AV60&lt;&gt;0,AV60,1000000)</f>
        <v>1000000</v>
      </c>
      <c r="BG60" s="14" t="str">
        <f>BE16</f>
        <v>TENNYSON, Eóin</v>
      </c>
      <c r="BH60" s="13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26:75" x14ac:dyDescent="0.2">
      <c r="Z61" s="18" t="e">
        <f ca="1"/>
        <v>#NAME?</v>
      </c>
      <c r="AA61" s="16" t="e">
        <f ca="1"/>
        <v>#NAME?</v>
      </c>
      <c r="AB61" s="16" t="e">
        <f ca="1"/>
        <v>#NAME?</v>
      </c>
      <c r="AC61" s="16" t="e">
        <f ca="1">AC60+AA61</f>
        <v>#NAME?</v>
      </c>
      <c r="AD61" s="16"/>
      <c r="AE61" s="17" t="e">
        <f ca="1">IF(AC61&gt;$AG$4,0,IF(AC61&lt;AA62,"Exclude 18 lowest candidates",0))</f>
        <v>#NAME?</v>
      </c>
      <c r="AF61" s="16"/>
      <c r="AG61" s="16"/>
      <c r="AJ61">
        <f>Z27</f>
        <v>0</v>
      </c>
      <c r="AK61" s="15">
        <f>AA27</f>
        <v>0</v>
      </c>
      <c r="AL61">
        <f>IF(AK61&lt;&gt;0,AK61,1000000)</f>
        <v>1000000</v>
      </c>
      <c r="AM61" s="15">
        <f>AL61-AL$47</f>
        <v>991411.29</v>
      </c>
      <c r="AN61">
        <f>IF(AM61&lt;&gt;0,AM61,1000000)</f>
        <v>991411.29</v>
      </c>
      <c r="AO61" s="15">
        <f>AN61-AN$47</f>
        <v>991035.22000000009</v>
      </c>
      <c r="AP61">
        <f>IF(AO61&lt;&gt;0,AO61,1000000)</f>
        <v>991035.22000000009</v>
      </c>
      <c r="AQ61" s="15">
        <f>AP61-AP$47</f>
        <v>990649.00000000012</v>
      </c>
      <c r="AR61">
        <f>IF(AQ61&lt;&gt;0,AQ61,1000000)</f>
        <v>990649.00000000012</v>
      </c>
      <c r="AT61" s="15">
        <f>AR61-AR$47</f>
        <v>990428.02000000014</v>
      </c>
      <c r="AU61">
        <f>IF(AT61&lt;&gt;0,AT61,1000000)</f>
        <v>990428.02000000014</v>
      </c>
      <c r="AV61" s="15">
        <f>AU61-AU$47</f>
        <v>0</v>
      </c>
      <c r="AW61">
        <f>IF(AV61&lt;&gt;0,AV61,1000000)</f>
        <v>1000000</v>
      </c>
      <c r="BG61" s="14">
        <f>BE17</f>
        <v>0</v>
      </c>
      <c r="BH61" s="13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26:75" x14ac:dyDescent="0.2">
      <c r="Z62" s="18" t="e">
        <f ca="1"/>
        <v>#NAME?</v>
      </c>
      <c r="AA62" s="16" t="e">
        <f ca="1"/>
        <v>#NAME?</v>
      </c>
      <c r="AB62" s="16" t="e">
        <f ca="1"/>
        <v>#NAME?</v>
      </c>
      <c r="AC62" s="16" t="e">
        <f ca="1">AC61+AA62</f>
        <v>#NAME?</v>
      </c>
      <c r="AD62" s="16"/>
      <c r="AE62" s="17" t="e">
        <f ca="1">IF(AC62&gt;$AG$4,0,IF(AC62&lt;AA63,"Exclude 19 lowest candidates",0))</f>
        <v>#NAME?</v>
      </c>
      <c r="AF62" s="16"/>
      <c r="AG62" s="16"/>
      <c r="AJ62">
        <f>Z28</f>
        <v>0</v>
      </c>
      <c r="AK62" s="15">
        <f>AA28</f>
        <v>0</v>
      </c>
      <c r="AL62">
        <f>IF(AK62&lt;&gt;0,AK62,1000000)</f>
        <v>1000000</v>
      </c>
      <c r="AM62" s="15">
        <f>AL62-AL$47</f>
        <v>991411.29</v>
      </c>
      <c r="AN62">
        <f>IF(AM62&lt;&gt;0,AM62,1000000)</f>
        <v>991411.29</v>
      </c>
      <c r="AO62" s="15">
        <f>AN62-AN$47</f>
        <v>991035.22000000009</v>
      </c>
      <c r="AP62">
        <f>IF(AO62&lt;&gt;0,AO62,1000000)</f>
        <v>991035.22000000009</v>
      </c>
      <c r="AQ62" s="15">
        <f>AP62-AP$47</f>
        <v>990649.00000000012</v>
      </c>
      <c r="AR62">
        <f>IF(AQ62&lt;&gt;0,AQ62,1000000)</f>
        <v>990649.00000000012</v>
      </c>
      <c r="AT62" s="15">
        <f>AR62-AR$47</f>
        <v>990428.02000000014</v>
      </c>
      <c r="AU62">
        <f>IF(AT62&lt;&gt;0,AT62,1000000)</f>
        <v>990428.02000000014</v>
      </c>
      <c r="AV62" s="15">
        <f>AU62-AU$47</f>
        <v>0</v>
      </c>
      <c r="AW62">
        <f>IF(AV62&lt;&gt;0,AV62,1000000)</f>
        <v>1000000</v>
      </c>
      <c r="BG62" s="14">
        <f>BE18</f>
        <v>0</v>
      </c>
      <c r="BH62" s="13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26:75" ht="13.5" customHeight="1" x14ac:dyDescent="0.2">
      <c r="Z63" s="18" t="e">
        <f ca="1"/>
        <v>#NAME?</v>
      </c>
      <c r="AA63" s="16" t="e">
        <f ca="1"/>
        <v>#NAME?</v>
      </c>
      <c r="AB63" s="16" t="e">
        <f ca="1"/>
        <v>#NAME?</v>
      </c>
      <c r="AC63" s="16" t="e">
        <f ca="1">AC62+AA63</f>
        <v>#NAME?</v>
      </c>
      <c r="AD63" s="16"/>
      <c r="AE63" s="17" t="e">
        <f ca="1">IF(AC63&gt;$AG$4,0,IF(AC63&lt;AA64,"Exclude 20 lowest candidates",0))</f>
        <v>#NAME?</v>
      </c>
      <c r="AF63" s="16"/>
      <c r="AG63" s="16"/>
      <c r="AJ63">
        <f>Z29</f>
        <v>0</v>
      </c>
      <c r="AK63" s="15">
        <f>AA29</f>
        <v>0</v>
      </c>
      <c r="AL63">
        <f>IF(AK63&lt;&gt;0,AK63,1000000)</f>
        <v>1000000</v>
      </c>
      <c r="AM63" s="15">
        <f>AL63-AL$47</f>
        <v>991411.29</v>
      </c>
      <c r="AN63">
        <f>IF(AM63&lt;&gt;0,AM63,1000000)</f>
        <v>991411.29</v>
      </c>
      <c r="AO63" s="15">
        <f>AN63-AN$47</f>
        <v>991035.22000000009</v>
      </c>
      <c r="AP63">
        <f>IF(AO63&lt;&gt;0,AO63,1000000)</f>
        <v>991035.22000000009</v>
      </c>
      <c r="AQ63" s="15">
        <f>AP63-AP$47</f>
        <v>990649.00000000012</v>
      </c>
      <c r="AR63">
        <f>IF(AQ63&lt;&gt;0,AQ63,1000000)</f>
        <v>990649.00000000012</v>
      </c>
      <c r="AT63" s="15">
        <f>AR63-AR$47</f>
        <v>990428.02000000014</v>
      </c>
      <c r="AU63">
        <f>IF(AT63&lt;&gt;0,AT63,1000000)</f>
        <v>990428.02000000014</v>
      </c>
      <c r="AV63" s="15">
        <f>AU63-AU$47</f>
        <v>0</v>
      </c>
      <c r="AW63">
        <f>IF(AV63&lt;&gt;0,AV63,1000000)</f>
        <v>1000000</v>
      </c>
      <c r="BG63" s="14">
        <f>BE19</f>
        <v>0</v>
      </c>
      <c r="BH63" s="13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26:75" ht="15" customHeight="1" x14ac:dyDescent="0.2">
      <c r="AJ64">
        <f>Z30</f>
        <v>0</v>
      </c>
      <c r="AK64" s="15">
        <f>AA30</f>
        <v>0</v>
      </c>
      <c r="AL64">
        <f>IF(AK64&lt;&gt;0,AK64,1000000)</f>
        <v>1000000</v>
      </c>
      <c r="AM64" s="15">
        <f>AL64-AL$47</f>
        <v>991411.29</v>
      </c>
      <c r="AN64">
        <f>IF(AM64&lt;&gt;0,AM64,1000000)</f>
        <v>991411.29</v>
      </c>
      <c r="AO64" s="15">
        <f>AN64-AN$47</f>
        <v>991035.22000000009</v>
      </c>
      <c r="AP64">
        <f>IF(AO64&lt;&gt;0,AO64,1000000)</f>
        <v>991035.22000000009</v>
      </c>
      <c r="AQ64" s="15">
        <f>AP64-AP$47</f>
        <v>990649.00000000012</v>
      </c>
      <c r="AR64">
        <f>IF(AQ64&lt;&gt;0,AQ64,1000000)</f>
        <v>990649.00000000012</v>
      </c>
      <c r="AT64" s="15">
        <f>AR64-AR$47</f>
        <v>990428.02000000014</v>
      </c>
      <c r="AU64">
        <f>IF(AT64&lt;&gt;0,AT64,1000000)</f>
        <v>990428.02000000014</v>
      </c>
      <c r="AV64" s="15">
        <f>AU64-AU$47</f>
        <v>0</v>
      </c>
      <c r="AW64">
        <f>IF(AV64&lt;&gt;0,AV64,1000000)</f>
        <v>1000000</v>
      </c>
      <c r="BG64" s="14">
        <f>BE20</f>
        <v>0</v>
      </c>
      <c r="BH64" s="13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36:75" x14ac:dyDescent="0.2">
      <c r="AJ65">
        <f>Z31</f>
        <v>0</v>
      </c>
      <c r="AK65" s="15">
        <f>AA31</f>
        <v>0</v>
      </c>
      <c r="AL65">
        <f>IF(AK65&lt;&gt;0,AK65,1000000)</f>
        <v>1000000</v>
      </c>
      <c r="AM65" s="15">
        <f>AL65-AL$47</f>
        <v>991411.29</v>
      </c>
      <c r="AN65">
        <f>IF(AM65&lt;&gt;0,AM65,1000000)</f>
        <v>991411.29</v>
      </c>
      <c r="AO65" s="15">
        <f>AN65-AN$47</f>
        <v>991035.22000000009</v>
      </c>
      <c r="AP65">
        <f>IF(AO65&lt;&gt;0,AO65,1000000)</f>
        <v>991035.22000000009</v>
      </c>
      <c r="AQ65" s="15">
        <f>AP65-AP$47</f>
        <v>990649.00000000012</v>
      </c>
      <c r="AR65">
        <f>IF(AQ65&lt;&gt;0,AQ65,1000000)</f>
        <v>990649.00000000012</v>
      </c>
      <c r="AT65" s="15">
        <f>AR65-AR$47</f>
        <v>990428.02000000014</v>
      </c>
      <c r="AU65">
        <f>IF(AT65&lt;&gt;0,AT65,1000000)</f>
        <v>990428.02000000014</v>
      </c>
      <c r="AV65" s="15">
        <f>AU65-AU$47</f>
        <v>0</v>
      </c>
      <c r="AW65">
        <f>IF(AV65&lt;&gt;0,AV65,1000000)</f>
        <v>1000000</v>
      </c>
      <c r="BG65" s="14">
        <f>BE21</f>
        <v>0</v>
      </c>
      <c r="BH65" s="13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36:75" ht="14.25" customHeight="1" x14ac:dyDescent="0.2">
      <c r="AJ66">
        <f>Z32</f>
        <v>0</v>
      </c>
      <c r="AK66" s="15">
        <f>AA32</f>
        <v>0</v>
      </c>
      <c r="AL66">
        <f>IF(AK66&lt;&gt;0,AK66,1000000)</f>
        <v>1000000</v>
      </c>
      <c r="AM66" s="15">
        <f>AL66-AL$47</f>
        <v>991411.29</v>
      </c>
      <c r="AN66">
        <f>IF(AM66&lt;&gt;0,AM66,1000000)</f>
        <v>991411.29</v>
      </c>
      <c r="AO66" s="15">
        <f>AN66-AN$47</f>
        <v>991035.22000000009</v>
      </c>
      <c r="AP66">
        <f>IF(AO66&lt;&gt;0,AO66,1000000)</f>
        <v>991035.22000000009</v>
      </c>
      <c r="AQ66" s="15">
        <f>AP66-AP$47</f>
        <v>990649.00000000012</v>
      </c>
      <c r="AR66">
        <f>IF(AQ66&lt;&gt;0,AQ66,1000000)</f>
        <v>990649.00000000012</v>
      </c>
      <c r="AT66" s="15">
        <f>AR66-AR$47</f>
        <v>990428.02000000014</v>
      </c>
      <c r="AU66">
        <f>IF(AT66&lt;&gt;0,AT66,1000000)</f>
        <v>990428.02000000014</v>
      </c>
      <c r="AV66" s="15">
        <f>AU66-AU$47</f>
        <v>0</v>
      </c>
      <c r="AW66">
        <f>IF(AV66&lt;&gt;0,AV66,1000000)</f>
        <v>1000000</v>
      </c>
      <c r="BG66" s="14">
        <f>BE22</f>
        <v>0</v>
      </c>
      <c r="BH66" s="13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36:75" x14ac:dyDescent="0.2">
      <c r="AJ67">
        <f>Z33</f>
        <v>0</v>
      </c>
      <c r="AK67" s="15">
        <f>AA33</f>
        <v>0</v>
      </c>
      <c r="AL67">
        <f>IF(AK67&lt;&gt;0,AK67,1000000)</f>
        <v>1000000</v>
      </c>
      <c r="AM67" s="15">
        <f>AL67-AL$47</f>
        <v>991411.29</v>
      </c>
      <c r="AN67">
        <f>IF(AM67&lt;&gt;0,AM67,1000000)</f>
        <v>991411.29</v>
      </c>
      <c r="AO67" s="15">
        <f>AN67-AN$47</f>
        <v>991035.22000000009</v>
      </c>
      <c r="AP67">
        <f>IF(AO67&lt;&gt;0,AO67,1000000)</f>
        <v>991035.22000000009</v>
      </c>
      <c r="AQ67" s="15">
        <f>AP67-AP$47</f>
        <v>990649.00000000012</v>
      </c>
      <c r="AR67">
        <f>IF(AQ67&lt;&gt;0,AQ67,1000000)</f>
        <v>990649.00000000012</v>
      </c>
      <c r="AT67" s="15">
        <f>AR67-AR$47</f>
        <v>990428.02000000014</v>
      </c>
      <c r="AU67">
        <f>IF(AT67&lt;&gt;0,AT67,1000000)</f>
        <v>990428.02000000014</v>
      </c>
      <c r="AV67" s="15">
        <f>AU67-AU$47</f>
        <v>0</v>
      </c>
      <c r="AW67">
        <f>IF(AV67&lt;&gt;0,AV67,1000000)</f>
        <v>1000000</v>
      </c>
      <c r="BG67" s="14">
        <f>BE23</f>
        <v>0</v>
      </c>
      <c r="BH67" s="13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36:75" x14ac:dyDescent="0.2">
      <c r="BG68" s="12">
        <f>BE24</f>
        <v>0</v>
      </c>
      <c r="BH68" s="11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36:75" ht="12.75" customHeight="1" x14ac:dyDescent="0.2">
      <c r="BG69" t="s">
        <v>8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36:75" x14ac:dyDescent="0.2">
      <c r="BK70" s="9">
        <f>BG27+CE29</f>
        <v>0</v>
      </c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Upper Bann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IF(A11="Elected","E",IF(A11="Excluded","Excluded",""))&amp;IF(B11&gt;0,B11,"")</f>
        <v>Excluded</v>
      </c>
      <c r="DB211" s="3" t="str">
        <f>C11</f>
        <v>BARR, Glenn</v>
      </c>
      <c r="DC211" s="3" t="str">
        <f>D11</f>
        <v>Ulster Unionist Party</v>
      </c>
      <c r="DD211" s="1">
        <f>E11</f>
        <v>3367</v>
      </c>
      <c r="DE211" s="1">
        <f>T11</f>
        <v>0</v>
      </c>
      <c r="DF211" s="1">
        <f>U11</f>
        <v>0</v>
      </c>
    </row>
    <row r="212" spans="105:110" ht="15" x14ac:dyDescent="0.2">
      <c r="DA212" s="3" t="str">
        <f>IF(A12="Elected","E",IF(A12="Excluded","Excluded",""))&amp;IF(B12&gt;0,B12,"")</f>
        <v>E</v>
      </c>
      <c r="DB212" s="3" t="str">
        <f>C12</f>
        <v>BEATTIE, Doug</v>
      </c>
      <c r="DC212" s="3" t="str">
        <f>D12</f>
        <v>Ulster Unionist Party</v>
      </c>
      <c r="DD212" s="1">
        <f>E12</f>
        <v>5199</v>
      </c>
      <c r="DE212" s="1">
        <f>T12</f>
        <v>0</v>
      </c>
      <c r="DF212" s="1">
        <f>U12</f>
        <v>0</v>
      </c>
    </row>
    <row r="213" spans="105:110" ht="15" x14ac:dyDescent="0.2">
      <c r="DA213" s="3" t="str">
        <f>IF(A13="Elected","E",IF(A13="Excluded","Excluded",""))&amp;IF(B13&gt;0,B13,"")</f>
        <v>Excluded</v>
      </c>
      <c r="DB213" s="3" t="str">
        <f>C13</f>
        <v>BEATTIE, Glenn</v>
      </c>
      <c r="DC213" s="3" t="str">
        <f>D13</f>
        <v>Heritage Party - Pro-freedom. Pro-family. Pro-life.</v>
      </c>
      <c r="DD213" s="1">
        <f>E13</f>
        <v>128</v>
      </c>
      <c r="DE213" s="1">
        <f>T13</f>
        <v>0</v>
      </c>
      <c r="DF213" s="1">
        <f>U13</f>
        <v>0</v>
      </c>
    </row>
    <row r="214" spans="105:110" ht="15" x14ac:dyDescent="0.2">
      <c r="DA214" s="3" t="str">
        <f>IF(A14="Elected","E",IF(A14="Excluded","Excluded",""))&amp;IF(B14&gt;0,B14,"")</f>
        <v>E</v>
      </c>
      <c r="DB214" s="3" t="str">
        <f>C14</f>
        <v>BUCKLEY, Jonathan Glen</v>
      </c>
      <c r="DC214" s="3" t="str">
        <f>D14</f>
        <v>Democratic Unionist Party - D.U.P.</v>
      </c>
      <c r="DD214" s="1">
        <f>E14</f>
        <v>8869</v>
      </c>
      <c r="DE214" s="1">
        <f>T14</f>
        <v>0</v>
      </c>
      <c r="DF214" s="1">
        <f>U14</f>
        <v>0</v>
      </c>
    </row>
    <row r="215" spans="105:110" ht="15" x14ac:dyDescent="0.2">
      <c r="DA215" s="3" t="str">
        <f>IF(A15="Elected","E",IF(A15="Excluded","Excluded",""))&amp;IF(B15&gt;0,B15,"")</f>
        <v>E</v>
      </c>
      <c r="DB215" s="3" t="str">
        <f>C15</f>
        <v>DODDS, Diane</v>
      </c>
      <c r="DC215" s="3" t="str">
        <f>D15</f>
        <v>Democratic Unionist Party - D.U.P.</v>
      </c>
      <c r="DD215" s="1">
        <f>E15</f>
        <v>6548</v>
      </c>
      <c r="DE215" s="1">
        <f>T15</f>
        <v>0</v>
      </c>
      <c r="DF215" s="1">
        <f>U15</f>
        <v>0</v>
      </c>
    </row>
    <row r="216" spans="105:110" ht="15" x14ac:dyDescent="0.2">
      <c r="DA216" s="3" t="str">
        <f>IF(A16="Elected","E",IF(A16="Excluded","Excluded",""))&amp;IF(B16&gt;0,B16,"")</f>
        <v>Excluded</v>
      </c>
      <c r="DB216" s="3" t="str">
        <f>C16</f>
        <v>FOSTER, Darrin</v>
      </c>
      <c r="DC216" s="3" t="str">
        <f>D16</f>
        <v>TUV - No Sea Border</v>
      </c>
      <c r="DD216" s="1">
        <f>E16</f>
        <v>4373</v>
      </c>
      <c r="DE216" s="1">
        <f>T16</f>
        <v>0</v>
      </c>
      <c r="DF216" s="1">
        <f>U16</f>
        <v>0</v>
      </c>
    </row>
    <row r="217" spans="105:110" ht="15" x14ac:dyDescent="0.2">
      <c r="DA217" s="3" t="str">
        <f>IF(A17="Elected","E",IF(A17="Excluded","Excluded",""))&amp;IF(B17&gt;0,B17,"")</f>
        <v>Excluded</v>
      </c>
      <c r="DB217" s="3" t="str">
        <f>C17</f>
        <v>GRIBBIN, Aidan</v>
      </c>
      <c r="DC217" s="3" t="str">
        <f>D17</f>
        <v>Aontú for Life, Unity, Economic Justice</v>
      </c>
      <c r="DD217" s="1">
        <f>E17</f>
        <v>571</v>
      </c>
      <c r="DE217" s="1">
        <f>T17</f>
        <v>0</v>
      </c>
      <c r="DF217" s="1">
        <f>U17</f>
        <v>0</v>
      </c>
    </row>
    <row r="218" spans="105:110" ht="15" x14ac:dyDescent="0.2">
      <c r="DA218" s="3" t="str">
        <f>IF(A18="Elected","E",IF(A18="Excluded","Excluded",""))&amp;IF(B18&gt;0,B18,"")</f>
        <v>Excluded</v>
      </c>
      <c r="DB218" s="3" t="str">
        <f>C18</f>
        <v>KELLY, Dolores</v>
      </c>
      <c r="DC218" s="3" t="str">
        <f>D18</f>
        <v>SDLP (Social Democratic &amp; Labour Party)</v>
      </c>
      <c r="DD218" s="1">
        <f>E18</f>
        <v>3645</v>
      </c>
      <c r="DE218" s="1">
        <f>T18</f>
        <v>0</v>
      </c>
      <c r="DF218" s="1">
        <f>U18</f>
        <v>0</v>
      </c>
    </row>
    <row r="219" spans="105:110" ht="15" x14ac:dyDescent="0.2">
      <c r="DA219" s="3" t="str">
        <f>IF(A19="Elected","E",IF(A19="Excluded","Excluded",""))&amp;IF(B19&gt;0,B19,"")</f>
        <v>Excluded</v>
      </c>
      <c r="DB219" s="3" t="str">
        <f>C19</f>
        <v>KENDALL, Lauren</v>
      </c>
      <c r="DC219" s="3" t="str">
        <f>D19</f>
        <v>Green Party Northern Ireland</v>
      </c>
      <c r="DD219" s="1">
        <f>E19</f>
        <v>459</v>
      </c>
      <c r="DE219" s="1">
        <f>T19</f>
        <v>0</v>
      </c>
      <c r="DF219" s="1">
        <f>U19</f>
        <v>0</v>
      </c>
    </row>
    <row r="220" spans="105:110" ht="15" x14ac:dyDescent="0.2">
      <c r="DA220" s="3" t="str">
        <f>IF(A20="Elected","E",IF(A20="Excluded","Excluded",""))&amp;IF(B20&gt;0,B20,"")</f>
        <v>Excluded</v>
      </c>
      <c r="DB220" s="3" t="str">
        <f>C20</f>
        <v>MACKLE, Liam</v>
      </c>
      <c r="DC220" s="3" t="str">
        <f>D20</f>
        <v>Sinn Féin</v>
      </c>
      <c r="DD220" s="1">
        <f>E20</f>
        <v>7260</v>
      </c>
      <c r="DE220" s="1">
        <f>T20</f>
        <v>0</v>
      </c>
      <c r="DF220" s="1">
        <f>U20</f>
        <v>0</v>
      </c>
    </row>
    <row r="221" spans="105:110" ht="15" x14ac:dyDescent="0.2">
      <c r="DA221" s="3" t="str">
        <f>IF(A21="Elected","E",IF(A21="Excluded","Excluded",""))&amp;IF(B21&gt;0,B21,"")</f>
        <v>E</v>
      </c>
      <c r="DB221" s="3" t="str">
        <f>C21</f>
        <v>O'DOWD, John</v>
      </c>
      <c r="DC221" s="3" t="str">
        <f>D21</f>
        <v>Sinn Féin</v>
      </c>
      <c r="DD221" s="1">
        <f>E21</f>
        <v>9242</v>
      </c>
      <c r="DE221" s="1">
        <f>T21</f>
        <v>0</v>
      </c>
      <c r="DF221" s="1">
        <f>U21</f>
        <v>0</v>
      </c>
    </row>
    <row r="222" spans="105:110" ht="15" x14ac:dyDescent="0.2">
      <c r="DA222" s="3" t="str">
        <f>IF(A22="Elected","E",IF(A22="Excluded","Excluded",""))&amp;IF(B22&gt;0,B22,"")</f>
        <v>E</v>
      </c>
      <c r="DB222" s="3" t="str">
        <f>C22</f>
        <v>TENNYSON, Eóin</v>
      </c>
      <c r="DC222" s="3" t="str">
        <f>D22</f>
        <v>Alliance Party</v>
      </c>
      <c r="DD222" s="1">
        <f>E22</f>
        <v>6440</v>
      </c>
      <c r="DE222" s="1">
        <f>T22</f>
        <v>0</v>
      </c>
      <c r="DF222" s="1">
        <f>U22</f>
        <v>0</v>
      </c>
    </row>
    <row r="223" spans="105:110" ht="15" x14ac:dyDescent="0.2">
      <c r="DA223" s="3" t="str">
        <f>IF(A23="Elected","E",IF(A23="Excluded","Excluded",""))&amp;IF(B23&gt;0,B23,"")</f>
        <v/>
      </c>
      <c r="DB223" s="3">
        <f>C23</f>
        <v>0</v>
      </c>
      <c r="DC223" s="3">
        <f>D23</f>
        <v>0</v>
      </c>
      <c r="DD223" s="1">
        <f>E23</f>
        <v>0</v>
      </c>
      <c r="DE223" s="1">
        <f>T23</f>
        <v>0</v>
      </c>
      <c r="DF223" s="1">
        <f>U23</f>
        <v>0</v>
      </c>
    </row>
    <row r="224" spans="105:110" ht="15" x14ac:dyDescent="0.2">
      <c r="DA224" s="3" t="str">
        <f>IF(A24="Elected","E",IF(A24="Excluded","Excluded",""))&amp;IF(B24&gt;0,B24,"")</f>
        <v/>
      </c>
      <c r="DB224" s="3">
        <f>C24</f>
        <v>0</v>
      </c>
      <c r="DC224" s="3">
        <f>D24</f>
        <v>0</v>
      </c>
      <c r="DD224" s="1">
        <f>E24</f>
        <v>0</v>
      </c>
      <c r="DE224" s="1">
        <f>T24</f>
        <v>0</v>
      </c>
      <c r="DF224" s="1">
        <f>U24</f>
        <v>0</v>
      </c>
    </row>
    <row r="225" spans="105:110" ht="15" x14ac:dyDescent="0.2">
      <c r="DA225" s="3" t="str">
        <f>IF(A25="Elected","E",IF(A25="Excluded","Excluded",""))&amp;IF(B25&gt;0,B25,"")</f>
        <v/>
      </c>
      <c r="DB225" s="3">
        <f>C25</f>
        <v>0</v>
      </c>
      <c r="DC225" s="3">
        <f>D25</f>
        <v>0</v>
      </c>
      <c r="DD225" s="1">
        <f>E25</f>
        <v>0</v>
      </c>
      <c r="DE225" s="1">
        <f>T25</f>
        <v>0</v>
      </c>
      <c r="DF225" s="1">
        <f>U25</f>
        <v>0</v>
      </c>
    </row>
    <row r="226" spans="105:110" ht="15" x14ac:dyDescent="0.2">
      <c r="DA226" s="3" t="str">
        <f>IF(A26="Elected","E",IF(A26="Excluded","Excluded",""))&amp;IF(B26&gt;0,B26,"")</f>
        <v/>
      </c>
      <c r="DB226" s="3">
        <f>C26</f>
        <v>0</v>
      </c>
      <c r="DC226" s="3">
        <f>D26</f>
        <v>0</v>
      </c>
      <c r="DD226" s="1">
        <f>E26</f>
        <v>0</v>
      </c>
      <c r="DE226" s="1">
        <f>T26</f>
        <v>0</v>
      </c>
      <c r="DF226" s="1">
        <f>U26</f>
        <v>0</v>
      </c>
    </row>
    <row r="227" spans="105:110" ht="15" x14ac:dyDescent="0.2">
      <c r="DA227" s="3" t="str">
        <f>IF(A27="Elected","E",IF(A27="Excluded","Excluded",""))&amp;IF(B27&gt;0,B27,"")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T27</f>
        <v>0</v>
      </c>
      <c r="DF227" s="1">
        <f>U27</f>
        <v>0</v>
      </c>
    </row>
    <row r="228" spans="105:110" ht="15" x14ac:dyDescent="0.2">
      <c r="DA228" s="3" t="str">
        <f>IF(A28="Elected","E",IF(A28="Excluded","Excluded",""))&amp;IF(B28&gt;0,B28,"")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T28</f>
        <v>0</v>
      </c>
      <c r="DF228" s="1">
        <f>U28</f>
        <v>0</v>
      </c>
    </row>
    <row r="229" spans="105:110" ht="15" x14ac:dyDescent="0.2">
      <c r="DA229" s="3" t="str">
        <f>IF(A29="Elected","E",IF(A29="Excluded","Excluded",""))&amp;IF(B29&gt;0,B29,"")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T29</f>
        <v>0</v>
      </c>
      <c r="DF229" s="1">
        <f>U29</f>
        <v>0</v>
      </c>
    </row>
    <row r="230" spans="105:110" ht="15" x14ac:dyDescent="0.2">
      <c r="DA230" s="3" t="str">
        <f>IF(A30="Elected","E",IF(A30="Excluded","Excluded",""))&amp;IF(B30&gt;0,B30,"")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T30</f>
        <v>0</v>
      </c>
      <c r="DF230" s="1">
        <f>U30</f>
        <v>0</v>
      </c>
    </row>
    <row r="231" spans="105:110" ht="15" x14ac:dyDescent="0.2">
      <c r="DC231" s="2" t="s">
        <v>1</v>
      </c>
      <c r="DD231" s="2"/>
      <c r="DE231" s="1">
        <f>T31</f>
        <v>0</v>
      </c>
      <c r="DF231" s="1">
        <f>U31</f>
        <v>0</v>
      </c>
    </row>
    <row r="232" spans="105:110" ht="15" x14ac:dyDescent="0.2">
      <c r="DC232" s="2" t="s">
        <v>0</v>
      </c>
      <c r="DD232" s="1">
        <f>E32</f>
        <v>56101</v>
      </c>
      <c r="DE232" s="2"/>
      <c r="DF232" s="1">
        <f>U32</f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R8:S8"/>
    <mergeCell ref="AO20:AP20"/>
    <mergeCell ref="AJ24:AK24"/>
    <mergeCell ref="AJ25:AK25"/>
    <mergeCell ref="AO24:AP24"/>
    <mergeCell ref="AO25:AP25"/>
    <mergeCell ref="AJ20:AK20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E4:F4"/>
    <mergeCell ref="R7:S7"/>
    <mergeCell ref="R6:S6"/>
    <mergeCell ref="F8:G8"/>
    <mergeCell ref="H8:I8"/>
    <mergeCell ref="J8:K8"/>
    <mergeCell ref="L8:M8"/>
    <mergeCell ref="N8:O8"/>
    <mergeCell ref="P7:Q7"/>
    <mergeCell ref="P6:Q6"/>
    <mergeCell ref="AO13:AO17"/>
    <mergeCell ref="AQ13:AQ17"/>
    <mergeCell ref="AP13:AP17"/>
    <mergeCell ref="AK9:AP10"/>
    <mergeCell ref="AL13:AL17"/>
    <mergeCell ref="J7:K7"/>
    <mergeCell ref="Z6:AF7"/>
    <mergeCell ref="T8:U8"/>
    <mergeCell ref="V6:W6"/>
    <mergeCell ref="V7:W7"/>
    <mergeCell ref="AQ9:AR10"/>
    <mergeCell ref="AN13:AN19"/>
    <mergeCell ref="CB2:CE2"/>
    <mergeCell ref="BI3:BK3"/>
    <mergeCell ref="BI2:BK2"/>
    <mergeCell ref="BT3:BZ3"/>
    <mergeCell ref="BP5:BP7"/>
    <mergeCell ref="AQ6:AR7"/>
    <mergeCell ref="AL3:AQ3"/>
    <mergeCell ref="AM13:AM17"/>
    <mergeCell ref="T6:U6"/>
    <mergeCell ref="T7:U7"/>
    <mergeCell ref="J6:K6"/>
    <mergeCell ref="K1:L1"/>
    <mergeCell ref="H3:I3"/>
    <mergeCell ref="O4:S4"/>
    <mergeCell ref="O3:S3"/>
    <mergeCell ref="H4:I4"/>
    <mergeCell ref="L6:M6"/>
    <mergeCell ref="U4:W4"/>
    <mergeCell ref="L7:M7"/>
    <mergeCell ref="F6:G6"/>
    <mergeCell ref="H6:I6"/>
    <mergeCell ref="F7:G7"/>
    <mergeCell ref="H7:I7"/>
    <mergeCell ref="N6:O6"/>
    <mergeCell ref="N7:O7"/>
    <mergeCell ref="AL31:AQ32"/>
    <mergeCell ref="BF30:BG32"/>
    <mergeCell ref="BI30:BK31"/>
    <mergeCell ref="BX30:BY32"/>
    <mergeCell ref="E3:F3"/>
    <mergeCell ref="O2:S2"/>
    <mergeCell ref="AK6:AP7"/>
    <mergeCell ref="Z3:AF3"/>
    <mergeCell ref="Z4:AF4"/>
    <mergeCell ref="Z2:AF2"/>
    <mergeCell ref="DE209:DF209"/>
    <mergeCell ref="AZ22:AZ23"/>
    <mergeCell ref="AJ22:AK22"/>
    <mergeCell ref="AJ23:AK23"/>
    <mergeCell ref="AJ21:AK21"/>
    <mergeCell ref="AO21:AP21"/>
    <mergeCell ref="AO22:AP22"/>
    <mergeCell ref="AO23:AP23"/>
    <mergeCell ref="AL28:AQ29"/>
    <mergeCell ref="CB31:CE32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9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2022-05-07T17:26:30Z</dcterms:created>
  <dcterms:modified xsi:type="dcterms:W3CDTF">2022-05-07T17:28:34Z</dcterms:modified>
</cp:coreProperties>
</file>